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G:\Mon disque\Compta\fin de mois\2025\07. Juillet\"/>
    </mc:Choice>
  </mc:AlternateContent>
  <bookViews>
    <workbookView xWindow="0" yWindow="-120" windowWidth="19200" windowHeight="8235" firstSheet="3" activeTab="7"/>
  </bookViews>
  <sheets>
    <sheet name="Parametres" sheetId="1" r:id="rId1"/>
    <sheet name="Bilan" sheetId="2" r:id="rId2"/>
    <sheet name="Budget original" sheetId="3" r:id="rId3"/>
    <sheet name="Réel 2024" sheetId="20" r:id="rId4"/>
    <sheet name="Capex" sheetId="5" r:id="rId5"/>
    <sheet name="Inventaire_Used" sheetId="7" state="hidden" r:id="rId6"/>
    <sheet name="Inventaire_Neuf" sheetId="6" state="hidden" r:id="rId7"/>
    <sheet name="Print_Mois" sheetId="9" r:id="rId8"/>
    <sheet name="2pager" sheetId="8" r:id="rId9"/>
    <sheet name="Chart1" sheetId="1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definedNames>
    <definedName name="_xlnm._FilterDatabase" localSheetId="17" hidden="1">BV_Data_An_Cour!$A$1:$X$495</definedName>
    <definedName name="_xlnm._FilterDatabase" localSheetId="19" hidden="1">BV_Data_An_Prec!$A$1:$X$1055</definedName>
    <definedName name="_xlnm._FilterDatabase" localSheetId="18" hidden="1">Data_Validation!$A$1:$G$949</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_xlnm._FilterDatabase" localSheetId="3" hidden="1">'Réel 2024'!$B$1:$B$701</definedName>
    <definedName name="Ticker" localSheetId="11">#REF!</definedName>
    <definedName name="Ticker">#REF!</definedName>
    <definedName name="_xlnm.Print_Area" localSheetId="13">Print_AAD!$C$1:$S$353,Print_AAD!$V$402:$AO$498</definedName>
    <definedName name="_xlnm.Print_Area" localSheetId="7">Print_Mois!$C$1:$S$353,Print_Mois!$V$402:$AO$498</definedName>
  </definedNames>
  <calcPr calcId="191029"/>
</workbook>
</file>

<file path=xl/calcChain.xml><?xml version="1.0" encoding="utf-8"?>
<calcChain xmlns="http://schemas.openxmlformats.org/spreadsheetml/2006/main">
  <c r="AJ407" i="9" l="1"/>
  <c r="S495" i="15"/>
  <c r="R495" i="15"/>
  <c r="Q495" i="15"/>
  <c r="P495" i="15" s="1"/>
  <c r="M495" i="15"/>
  <c r="L495" i="15"/>
  <c r="X495" i="15" s="1"/>
  <c r="S494" i="15"/>
  <c r="R494" i="15"/>
  <c r="Q494" i="15"/>
  <c r="O494" i="15" s="1"/>
  <c r="M494" i="15"/>
  <c r="L494" i="15"/>
  <c r="X494" i="15" s="1"/>
  <c r="S493" i="15"/>
  <c r="R493" i="15"/>
  <c r="Q493" i="15"/>
  <c r="N493" i="15" s="1"/>
  <c r="M493" i="15"/>
  <c r="L493" i="15"/>
  <c r="X493" i="15" s="1"/>
  <c r="S492" i="15"/>
  <c r="R492" i="15"/>
  <c r="Q492" i="15"/>
  <c r="P492" i="15" s="1"/>
  <c r="M492" i="15"/>
  <c r="L492" i="15"/>
  <c r="X492" i="15" s="1"/>
  <c r="S491" i="15"/>
  <c r="R491" i="15"/>
  <c r="Q491" i="15"/>
  <c r="P491" i="15" s="1"/>
  <c r="M491" i="15"/>
  <c r="L491" i="15"/>
  <c r="X491" i="15" s="1"/>
  <c r="S490" i="15"/>
  <c r="R490" i="15"/>
  <c r="Q490" i="15"/>
  <c r="O490" i="15" s="1"/>
  <c r="M490" i="15"/>
  <c r="L490" i="15"/>
  <c r="X490" i="15" s="1"/>
  <c r="S489" i="15"/>
  <c r="R489" i="15"/>
  <c r="Q489" i="15"/>
  <c r="P489" i="15" s="1"/>
  <c r="M489" i="15"/>
  <c r="L489" i="15"/>
  <c r="X489" i="15" s="1"/>
  <c r="S488" i="15"/>
  <c r="R488" i="15"/>
  <c r="Q488" i="15"/>
  <c r="P488" i="15" s="1"/>
  <c r="M488" i="15"/>
  <c r="L488" i="15"/>
  <c r="X488" i="15" s="1"/>
  <c r="S487" i="15"/>
  <c r="R487" i="15"/>
  <c r="Q487" i="15"/>
  <c r="O487" i="15" s="1"/>
  <c r="M487" i="15"/>
  <c r="L487" i="15"/>
  <c r="X487" i="15" s="1"/>
  <c r="O492" i="15" l="1"/>
  <c r="N492" i="15"/>
  <c r="O491" i="15"/>
  <c r="P490" i="15"/>
  <c r="T488" i="15"/>
  <c r="U488" i="15"/>
  <c r="V488" i="15"/>
  <c r="W488" i="15"/>
  <c r="T490" i="15"/>
  <c r="O493" i="15"/>
  <c r="P494" i="15"/>
  <c r="U489" i="15"/>
  <c r="T489" i="15"/>
  <c r="V489" i="15"/>
  <c r="N494" i="15"/>
  <c r="P493" i="15"/>
  <c r="N495" i="15"/>
  <c r="O495" i="15"/>
  <c r="W489" i="15"/>
  <c r="V490" i="15"/>
  <c r="U491" i="15"/>
  <c r="T492" i="15"/>
  <c r="U490" i="15"/>
  <c r="T491" i="15"/>
  <c r="W490" i="15"/>
  <c r="V491" i="15"/>
  <c r="U492" i="15"/>
  <c r="T493" i="15"/>
  <c r="W491" i="15"/>
  <c r="V492" i="15"/>
  <c r="U493" i="15"/>
  <c r="T494" i="15"/>
  <c r="N488" i="15"/>
  <c r="O488" i="15"/>
  <c r="N489" i="15"/>
  <c r="W492" i="15"/>
  <c r="V493" i="15"/>
  <c r="U494" i="15"/>
  <c r="T495" i="15"/>
  <c r="O489" i="15"/>
  <c r="N490" i="15"/>
  <c r="W493" i="15"/>
  <c r="V494" i="15"/>
  <c r="U495" i="15"/>
  <c r="N491" i="15"/>
  <c r="W494" i="15"/>
  <c r="V495" i="15"/>
  <c r="W495" i="15"/>
  <c r="P487" i="15"/>
  <c r="N487" i="15"/>
  <c r="T487" i="15"/>
  <c r="U487" i="15"/>
  <c r="V487" i="15"/>
  <c r="W487" i="15"/>
  <c r="S486" i="15" l="1"/>
  <c r="R486" i="15"/>
  <c r="Q486" i="15"/>
  <c r="N486" i="15" s="1"/>
  <c r="M486" i="15"/>
  <c r="L486" i="15"/>
  <c r="X486" i="15" s="1"/>
  <c r="S485" i="15"/>
  <c r="R485" i="15"/>
  <c r="Q485" i="15"/>
  <c r="P485" i="15" s="1"/>
  <c r="M485" i="15"/>
  <c r="L485" i="15"/>
  <c r="X485" i="15" s="1"/>
  <c r="S484" i="15"/>
  <c r="R484" i="15"/>
  <c r="Q484" i="15"/>
  <c r="P484" i="15" s="1"/>
  <c r="M484" i="15"/>
  <c r="L484" i="15"/>
  <c r="X484" i="15" s="1"/>
  <c r="S483" i="15"/>
  <c r="R483" i="15"/>
  <c r="Q483" i="15"/>
  <c r="P483" i="15" s="1"/>
  <c r="M483" i="15"/>
  <c r="L483" i="15"/>
  <c r="X483" i="15" s="1"/>
  <c r="S482" i="15"/>
  <c r="R482" i="15"/>
  <c r="Q482" i="15"/>
  <c r="P482" i="15" s="1"/>
  <c r="M482" i="15"/>
  <c r="L482" i="15"/>
  <c r="X482" i="15" s="1"/>
  <c r="S481" i="15"/>
  <c r="R481" i="15"/>
  <c r="Q481" i="15"/>
  <c r="P481" i="15" s="1"/>
  <c r="M481" i="15"/>
  <c r="L481" i="15"/>
  <c r="X481" i="15" s="1"/>
  <c r="S480" i="15"/>
  <c r="R480" i="15"/>
  <c r="Q480" i="15"/>
  <c r="P480" i="15" s="1"/>
  <c r="M480" i="15"/>
  <c r="L480" i="15"/>
  <c r="X480" i="15" s="1"/>
  <c r="S479" i="15"/>
  <c r="R479" i="15"/>
  <c r="Q479" i="15"/>
  <c r="P479" i="15" s="1"/>
  <c r="M479" i="15"/>
  <c r="L479" i="15"/>
  <c r="X479" i="15" s="1"/>
  <c r="S478" i="15"/>
  <c r="R478" i="15"/>
  <c r="Q478" i="15"/>
  <c r="P478" i="15" s="1"/>
  <c r="M478" i="15"/>
  <c r="L478" i="15"/>
  <c r="U478" i="15" s="1"/>
  <c r="L8" i="5"/>
  <c r="U482" i="15" l="1"/>
  <c r="P486" i="15"/>
  <c r="W479" i="15"/>
  <c r="T481" i="15"/>
  <c r="V481" i="15"/>
  <c r="U481" i="15"/>
  <c r="T480" i="15"/>
  <c r="T483" i="15"/>
  <c r="U480" i="15"/>
  <c r="O486" i="15"/>
  <c r="V480" i="15"/>
  <c r="W480" i="15"/>
  <c r="U479" i="15"/>
  <c r="T479" i="15"/>
  <c r="V479" i="15"/>
  <c r="T482" i="15"/>
  <c r="N478" i="15"/>
  <c r="W481" i="15"/>
  <c r="V482" i="15"/>
  <c r="U483" i="15"/>
  <c r="T484" i="15"/>
  <c r="X478" i="15"/>
  <c r="O478" i="15"/>
  <c r="N479" i="15"/>
  <c r="W482" i="15"/>
  <c r="V483" i="15"/>
  <c r="U484" i="15"/>
  <c r="T485" i="15"/>
  <c r="O479" i="15"/>
  <c r="N480" i="15"/>
  <c r="W483" i="15"/>
  <c r="V484" i="15"/>
  <c r="U485" i="15"/>
  <c r="T486" i="15"/>
  <c r="O480" i="15"/>
  <c r="N481" i="15"/>
  <c r="W484" i="15"/>
  <c r="V485" i="15"/>
  <c r="U486" i="15"/>
  <c r="O481" i="15"/>
  <c r="N482" i="15"/>
  <c r="W485" i="15"/>
  <c r="V486" i="15"/>
  <c r="W478" i="15"/>
  <c r="O482" i="15"/>
  <c r="N483" i="15"/>
  <c r="W486" i="15"/>
  <c r="V478" i="15"/>
  <c r="T478" i="15"/>
  <c r="O483" i="15"/>
  <c r="N484" i="15"/>
  <c r="O484" i="15"/>
  <c r="N485" i="15"/>
  <c r="O485" i="15"/>
  <c r="S477" i="15"/>
  <c r="R477" i="15"/>
  <c r="Q477" i="15"/>
  <c r="P477" i="15" s="1"/>
  <c r="M477" i="15"/>
  <c r="L477" i="15"/>
  <c r="W477" i="15" s="1"/>
  <c r="S476" i="15"/>
  <c r="R476" i="15"/>
  <c r="Q476" i="15"/>
  <c r="O476" i="15" s="1"/>
  <c r="M476" i="15"/>
  <c r="L476" i="15"/>
  <c r="X476" i="15" s="1"/>
  <c r="S475" i="15"/>
  <c r="R475" i="15"/>
  <c r="Q475" i="15"/>
  <c r="O475" i="15" s="1"/>
  <c r="M475" i="15"/>
  <c r="L475" i="15"/>
  <c r="T475" i="15" s="1"/>
  <c r="S474" i="15"/>
  <c r="R474" i="15"/>
  <c r="Q474" i="15"/>
  <c r="N474" i="15" s="1"/>
  <c r="M474" i="15"/>
  <c r="L474" i="15"/>
  <c r="X474" i="15" s="1"/>
  <c r="S473" i="15"/>
  <c r="R473" i="15"/>
  <c r="Q473" i="15"/>
  <c r="P473" i="15" s="1"/>
  <c r="M473" i="15"/>
  <c r="L473" i="15"/>
  <c r="X473" i="15" s="1"/>
  <c r="S472" i="15"/>
  <c r="R472" i="15"/>
  <c r="Q472" i="15"/>
  <c r="O472" i="15" s="1"/>
  <c r="M472" i="15"/>
  <c r="L472" i="15"/>
  <c r="X472" i="15" s="1"/>
  <c r="S471" i="15"/>
  <c r="R471" i="15"/>
  <c r="Q471" i="15"/>
  <c r="N471" i="15" s="1"/>
  <c r="M471" i="15"/>
  <c r="L471" i="15"/>
  <c r="W471" i="15" s="1"/>
  <c r="S470" i="15"/>
  <c r="R470" i="15"/>
  <c r="Q470" i="15"/>
  <c r="O470" i="15" s="1"/>
  <c r="M470" i="15"/>
  <c r="L470" i="15"/>
  <c r="X470" i="15" s="1"/>
  <c r="P475" i="15" l="1"/>
  <c r="O474" i="15"/>
  <c r="U476" i="15"/>
  <c r="N477" i="15"/>
  <c r="O477" i="15"/>
  <c r="P476" i="15"/>
  <c r="N475" i="15"/>
  <c r="P474" i="15"/>
  <c r="T474" i="15"/>
  <c r="U474" i="15"/>
  <c r="N476" i="15"/>
  <c r="W474" i="15"/>
  <c r="V474" i="15"/>
  <c r="U475" i="15"/>
  <c r="T476" i="15"/>
  <c r="V475" i="15"/>
  <c r="W475" i="15"/>
  <c r="V476" i="15"/>
  <c r="U477" i="15"/>
  <c r="X475" i="15"/>
  <c r="W476" i="15"/>
  <c r="V477" i="15"/>
  <c r="X477" i="15"/>
  <c r="T477" i="15"/>
  <c r="O471" i="15"/>
  <c r="N472" i="15"/>
  <c r="P472" i="15"/>
  <c r="P471" i="15"/>
  <c r="P470" i="15"/>
  <c r="U470" i="15"/>
  <c r="U471" i="15"/>
  <c r="V472" i="15"/>
  <c r="V470" i="15"/>
  <c r="V471" i="15"/>
  <c r="W470" i="15"/>
  <c r="T472" i="15"/>
  <c r="T473" i="15"/>
  <c r="T470" i="15"/>
  <c r="T471" i="15"/>
  <c r="U472" i="15"/>
  <c r="U473" i="15"/>
  <c r="X471" i="15"/>
  <c r="W472" i="15"/>
  <c r="V473" i="15"/>
  <c r="N470" i="15"/>
  <c r="W473" i="15"/>
  <c r="N473" i="15"/>
  <c r="O473" i="15"/>
  <c r="S469" i="15" l="1"/>
  <c r="R469" i="15"/>
  <c r="Q469" i="15"/>
  <c r="P469" i="15" s="1"/>
  <c r="M469" i="15"/>
  <c r="L469" i="15"/>
  <c r="U469" i="15" s="1"/>
  <c r="S468" i="15"/>
  <c r="R468" i="15"/>
  <c r="Q468" i="15"/>
  <c r="P468" i="15" s="1"/>
  <c r="M468" i="15"/>
  <c r="L468" i="15"/>
  <c r="V468" i="15" s="1"/>
  <c r="S467" i="15"/>
  <c r="R467" i="15"/>
  <c r="Q467" i="15"/>
  <c r="P467" i="15" s="1"/>
  <c r="M467" i="15"/>
  <c r="L467" i="15"/>
  <c r="W467" i="15" s="1"/>
  <c r="S466" i="15"/>
  <c r="R466" i="15"/>
  <c r="Q466" i="15"/>
  <c r="P466" i="15" s="1"/>
  <c r="M466" i="15"/>
  <c r="L466" i="15"/>
  <c r="W466" i="15" s="1"/>
  <c r="S465" i="15"/>
  <c r="R465" i="15"/>
  <c r="Q465" i="15"/>
  <c r="P465" i="15" s="1"/>
  <c r="M465" i="15"/>
  <c r="L465" i="15"/>
  <c r="X465" i="15" s="1"/>
  <c r="S464" i="15"/>
  <c r="R464" i="15"/>
  <c r="Q464" i="15"/>
  <c r="O464" i="15" s="1"/>
  <c r="M464" i="15"/>
  <c r="L464" i="15"/>
  <c r="X464" i="15" s="1"/>
  <c r="S463" i="15"/>
  <c r="R463" i="15"/>
  <c r="Q463" i="15"/>
  <c r="N463" i="15" s="1"/>
  <c r="M463" i="15"/>
  <c r="L463" i="15"/>
  <c r="X463" i="15" s="1"/>
  <c r="S462" i="15"/>
  <c r="R462" i="15"/>
  <c r="Q462" i="15"/>
  <c r="O462" i="15" s="1"/>
  <c r="M462" i="15"/>
  <c r="L462" i="15"/>
  <c r="X462" i="15" s="1"/>
  <c r="S461" i="15"/>
  <c r="R461" i="15"/>
  <c r="Q461" i="15"/>
  <c r="P461" i="15" s="1"/>
  <c r="M461" i="15"/>
  <c r="L461" i="15"/>
  <c r="X461" i="15" s="1"/>
  <c r="S460" i="15"/>
  <c r="R460" i="15"/>
  <c r="Q460" i="15"/>
  <c r="O460" i="15" s="1"/>
  <c r="M460" i="15"/>
  <c r="L460" i="15"/>
  <c r="X460" i="15" s="1"/>
  <c r="S459" i="15"/>
  <c r="R459" i="15"/>
  <c r="Q459" i="15"/>
  <c r="P459" i="15" s="1"/>
  <c r="M459" i="15"/>
  <c r="L459" i="15"/>
  <c r="X459" i="15" s="1"/>
  <c r="S458" i="15"/>
  <c r="R458" i="15"/>
  <c r="Q458" i="15"/>
  <c r="P458" i="15" s="1"/>
  <c r="M458" i="15"/>
  <c r="L458" i="15"/>
  <c r="X458" i="15" s="1"/>
  <c r="S457" i="15"/>
  <c r="R457" i="15"/>
  <c r="Q457" i="15"/>
  <c r="O457" i="15" s="1"/>
  <c r="M457" i="15"/>
  <c r="L457" i="15"/>
  <c r="X457" i="15" s="1"/>
  <c r="S456" i="15"/>
  <c r="R456" i="15"/>
  <c r="Q456" i="15"/>
  <c r="P456" i="15" s="1"/>
  <c r="M456" i="15"/>
  <c r="L456" i="15"/>
  <c r="X456" i="15" s="1"/>
  <c r="S455" i="15"/>
  <c r="R455" i="15"/>
  <c r="Q455" i="15"/>
  <c r="P455" i="15" s="1"/>
  <c r="M455" i="15"/>
  <c r="L455" i="15"/>
  <c r="V455" i="15" s="1"/>
  <c r="S454" i="15"/>
  <c r="R454" i="15"/>
  <c r="Q454" i="15"/>
  <c r="P454" i="15" s="1"/>
  <c r="M454" i="15"/>
  <c r="L454" i="15"/>
  <c r="W454" i="15" s="1"/>
  <c r="S453" i="15"/>
  <c r="R453" i="15"/>
  <c r="Q453" i="15"/>
  <c r="P453" i="15" s="1"/>
  <c r="M453" i="15"/>
  <c r="L453" i="15"/>
  <c r="X453" i="15" s="1"/>
  <c r="S452" i="15"/>
  <c r="R452" i="15"/>
  <c r="Q452" i="15"/>
  <c r="P452" i="15" s="1"/>
  <c r="M452" i="15"/>
  <c r="L452" i="15"/>
  <c r="X452" i="15" s="1"/>
  <c r="S451" i="15"/>
  <c r="R451" i="15"/>
  <c r="Q451" i="15"/>
  <c r="N451" i="15" s="1"/>
  <c r="M451" i="15"/>
  <c r="L451" i="15"/>
  <c r="X451" i="15" s="1"/>
  <c r="S450" i="15"/>
  <c r="R450" i="15"/>
  <c r="Q450" i="15"/>
  <c r="O450" i="15" s="1"/>
  <c r="M450" i="15"/>
  <c r="L450" i="15"/>
  <c r="X450" i="15" s="1"/>
  <c r="S449" i="15"/>
  <c r="R449" i="15"/>
  <c r="Q449" i="15"/>
  <c r="P449" i="15" s="1"/>
  <c r="M449" i="15"/>
  <c r="L449" i="15"/>
  <c r="X449" i="15" s="1"/>
  <c r="S448" i="15"/>
  <c r="R448" i="15"/>
  <c r="Q448" i="15"/>
  <c r="O448" i="15" s="1"/>
  <c r="M448" i="15"/>
  <c r="L448" i="15"/>
  <c r="X448" i="15" s="1"/>
  <c r="S447" i="15"/>
  <c r="R447" i="15"/>
  <c r="Q447" i="15"/>
  <c r="P447" i="15" s="1"/>
  <c r="M447" i="15"/>
  <c r="L447" i="15"/>
  <c r="X447" i="15" s="1"/>
  <c r="S446" i="15"/>
  <c r="R446" i="15"/>
  <c r="Q446" i="15"/>
  <c r="P446" i="15" s="1"/>
  <c r="M446" i="15"/>
  <c r="L446" i="15"/>
  <c r="X446" i="15" s="1"/>
  <c r="S445" i="15"/>
  <c r="R445" i="15"/>
  <c r="Q445" i="15"/>
  <c r="O445" i="15" s="1"/>
  <c r="M445" i="15"/>
  <c r="L445" i="15"/>
  <c r="T445" i="15" s="1"/>
  <c r="S444" i="15"/>
  <c r="R444" i="15"/>
  <c r="Q444" i="15"/>
  <c r="P444" i="15" s="1"/>
  <c r="M444" i="15"/>
  <c r="L444" i="15"/>
  <c r="X444" i="15" s="1"/>
  <c r="S443" i="15"/>
  <c r="R443" i="15"/>
  <c r="Q443" i="15"/>
  <c r="P443" i="15" s="1"/>
  <c r="M443" i="15"/>
  <c r="L443" i="15"/>
  <c r="V443" i="15" s="1"/>
  <c r="S442" i="15"/>
  <c r="R442" i="15"/>
  <c r="Q442" i="15"/>
  <c r="P442" i="15" s="1"/>
  <c r="M442" i="15"/>
  <c r="L442" i="15"/>
  <c r="W442" i="15" s="1"/>
  <c r="S441" i="15"/>
  <c r="R441" i="15"/>
  <c r="Q441" i="15"/>
  <c r="N441" i="15" s="1"/>
  <c r="M441" i="15"/>
  <c r="L441" i="15"/>
  <c r="X441" i="15" s="1"/>
  <c r="S440" i="15"/>
  <c r="R440" i="15"/>
  <c r="Q440" i="15"/>
  <c r="P440" i="15" s="1"/>
  <c r="M440" i="15"/>
  <c r="L440" i="15"/>
  <c r="X440" i="15" s="1"/>
  <c r="S439" i="15"/>
  <c r="R439" i="15"/>
  <c r="Q439" i="15"/>
  <c r="N439" i="15" s="1"/>
  <c r="M439" i="15"/>
  <c r="L439" i="15"/>
  <c r="X439" i="15" s="1"/>
  <c r="S438" i="15"/>
  <c r="R438" i="15"/>
  <c r="Q438" i="15"/>
  <c r="O438" i="15" s="1"/>
  <c r="M438" i="15"/>
  <c r="L438" i="15"/>
  <c r="X438" i="15" s="1"/>
  <c r="S437" i="15"/>
  <c r="R437" i="15"/>
  <c r="Q437" i="15"/>
  <c r="P437" i="15" s="1"/>
  <c r="M437" i="15"/>
  <c r="L437" i="15"/>
  <c r="X437" i="15" s="1"/>
  <c r="S436" i="15"/>
  <c r="R436" i="15"/>
  <c r="Q436" i="15"/>
  <c r="O436" i="15" s="1"/>
  <c r="M436" i="15"/>
  <c r="L436" i="15"/>
  <c r="X436" i="15" s="1"/>
  <c r="S435" i="15"/>
  <c r="R435" i="15"/>
  <c r="Q435" i="15"/>
  <c r="P435" i="15" s="1"/>
  <c r="M435" i="15"/>
  <c r="L435" i="15"/>
  <c r="X435" i="15" s="1"/>
  <c r="S434" i="15"/>
  <c r="R434" i="15"/>
  <c r="Q434" i="15"/>
  <c r="P434" i="15" s="1"/>
  <c r="M434" i="15"/>
  <c r="L434" i="15"/>
  <c r="X434" i="15" s="1"/>
  <c r="S433" i="15"/>
  <c r="R433" i="15"/>
  <c r="Q433" i="15"/>
  <c r="O433" i="15" s="1"/>
  <c r="M433" i="15"/>
  <c r="L433" i="15"/>
  <c r="T433" i="15" s="1"/>
  <c r="S432" i="15"/>
  <c r="R432" i="15"/>
  <c r="Q432" i="15"/>
  <c r="P432" i="15" s="1"/>
  <c r="M432" i="15"/>
  <c r="L432" i="15"/>
  <c r="U432" i="15" s="1"/>
  <c r="S431" i="15"/>
  <c r="R431" i="15"/>
  <c r="Q431" i="15"/>
  <c r="P431" i="15" s="1"/>
  <c r="M431" i="15"/>
  <c r="L431" i="15"/>
  <c r="X431" i="15" s="1"/>
  <c r="S430" i="15"/>
  <c r="R430" i="15"/>
  <c r="Q430" i="15"/>
  <c r="P430" i="15" s="1"/>
  <c r="M430" i="15"/>
  <c r="L430" i="15"/>
  <c r="W430" i="15" s="1"/>
  <c r="S429" i="15"/>
  <c r="R429" i="15"/>
  <c r="Q429" i="15"/>
  <c r="P429" i="15" s="1"/>
  <c r="M429" i="15"/>
  <c r="L429" i="15"/>
  <c r="X429" i="15" s="1"/>
  <c r="S428" i="15"/>
  <c r="R428" i="15"/>
  <c r="Q428" i="15"/>
  <c r="P428" i="15" s="1"/>
  <c r="M428" i="15"/>
  <c r="L428" i="15"/>
  <c r="X428" i="15" s="1"/>
  <c r="S427" i="15"/>
  <c r="R427" i="15"/>
  <c r="Q427" i="15"/>
  <c r="N427" i="15" s="1"/>
  <c r="M427" i="15"/>
  <c r="L427" i="15"/>
  <c r="X427" i="15" s="1"/>
  <c r="S426" i="15"/>
  <c r="R426" i="15"/>
  <c r="Q426" i="15"/>
  <c r="O426" i="15" s="1"/>
  <c r="M426" i="15"/>
  <c r="L426" i="15"/>
  <c r="X426" i="15" s="1"/>
  <c r="S425" i="15"/>
  <c r="R425" i="15"/>
  <c r="Q425" i="15"/>
  <c r="P425" i="15" s="1"/>
  <c r="M425" i="15"/>
  <c r="L425" i="15"/>
  <c r="X425" i="15" s="1"/>
  <c r="S424" i="15"/>
  <c r="R424" i="15"/>
  <c r="Q424" i="15"/>
  <c r="O424" i="15" s="1"/>
  <c r="M424" i="15"/>
  <c r="L424" i="15"/>
  <c r="X424" i="15" s="1"/>
  <c r="S423" i="15"/>
  <c r="R423" i="15"/>
  <c r="Q423" i="15"/>
  <c r="P423" i="15" s="1"/>
  <c r="M423" i="15"/>
  <c r="L423" i="15"/>
  <c r="X423" i="15" s="1"/>
  <c r="S422" i="15"/>
  <c r="R422" i="15"/>
  <c r="Q422" i="15"/>
  <c r="P422" i="15" s="1"/>
  <c r="M422" i="15"/>
  <c r="L422" i="15"/>
  <c r="X422" i="15" s="1"/>
  <c r="S421" i="15"/>
  <c r="R421" i="15"/>
  <c r="Q421" i="15"/>
  <c r="O421" i="15" s="1"/>
  <c r="M421" i="15"/>
  <c r="L421" i="15"/>
  <c r="T421" i="15" s="1"/>
  <c r="S420" i="15"/>
  <c r="R420" i="15"/>
  <c r="Q420" i="15"/>
  <c r="P420" i="15" s="1"/>
  <c r="M420" i="15"/>
  <c r="L420" i="15"/>
  <c r="U420" i="15" s="1"/>
  <c r="S419" i="15"/>
  <c r="R419" i="15"/>
  <c r="Q419" i="15"/>
  <c r="P419" i="15" s="1"/>
  <c r="M419" i="15"/>
  <c r="L419" i="15"/>
  <c r="V419" i="15" s="1"/>
  <c r="S418" i="15"/>
  <c r="R418" i="15"/>
  <c r="Q418" i="15"/>
  <c r="P418" i="15" s="1"/>
  <c r="M418" i="15"/>
  <c r="L418" i="15"/>
  <c r="X418" i="15" s="1"/>
  <c r="S417" i="15"/>
  <c r="R417" i="15"/>
  <c r="Q417" i="15"/>
  <c r="N417" i="15" s="1"/>
  <c r="M417" i="15"/>
  <c r="L417" i="15"/>
  <c r="X417" i="15" s="1"/>
  <c r="S416" i="15"/>
  <c r="R416" i="15"/>
  <c r="Q416" i="15"/>
  <c r="P416" i="15" s="1"/>
  <c r="M416" i="15"/>
  <c r="L416" i="15"/>
  <c r="X416" i="15" s="1"/>
  <c r="S415" i="15"/>
  <c r="R415" i="15"/>
  <c r="Q415" i="15"/>
  <c r="N415" i="15" s="1"/>
  <c r="M415" i="15"/>
  <c r="L415" i="15"/>
  <c r="X415" i="15" s="1"/>
  <c r="S414" i="15"/>
  <c r="R414" i="15"/>
  <c r="Q414" i="15"/>
  <c r="O414" i="15" s="1"/>
  <c r="M414" i="15"/>
  <c r="L414" i="15"/>
  <c r="X414" i="15" s="1"/>
  <c r="S413" i="15"/>
  <c r="R413" i="15"/>
  <c r="Q413" i="15"/>
  <c r="P413" i="15" s="1"/>
  <c r="M413" i="15"/>
  <c r="L413" i="15"/>
  <c r="X413" i="15" s="1"/>
  <c r="S412" i="15"/>
  <c r="R412" i="15"/>
  <c r="Q412" i="15"/>
  <c r="O412" i="15" s="1"/>
  <c r="M412" i="15"/>
  <c r="L412" i="15"/>
  <c r="X412" i="15" s="1"/>
  <c r="S411" i="15"/>
  <c r="R411" i="15"/>
  <c r="Q411" i="15"/>
  <c r="P411" i="15" s="1"/>
  <c r="M411" i="15"/>
  <c r="L411" i="15"/>
  <c r="X411" i="15" s="1"/>
  <c r="S410" i="15"/>
  <c r="R410" i="15"/>
  <c r="Q410" i="15"/>
  <c r="P410" i="15" s="1"/>
  <c r="M410" i="15"/>
  <c r="L410" i="15"/>
  <c r="X410" i="15" s="1"/>
  <c r="S409" i="15"/>
  <c r="R409" i="15"/>
  <c r="Q409" i="15"/>
  <c r="O409" i="15" s="1"/>
  <c r="M409" i="15"/>
  <c r="L409" i="15"/>
  <c r="T409" i="15" s="1"/>
  <c r="S408" i="15"/>
  <c r="R408" i="15"/>
  <c r="Q408" i="15"/>
  <c r="P408" i="15" s="1"/>
  <c r="M408" i="15"/>
  <c r="L408" i="15"/>
  <c r="U408" i="15" s="1"/>
  <c r="S407" i="15"/>
  <c r="R407" i="15"/>
  <c r="Q407" i="15"/>
  <c r="P407" i="15" s="1"/>
  <c r="M407" i="15"/>
  <c r="L407" i="15"/>
  <c r="V407" i="15" s="1"/>
  <c r="S406" i="15"/>
  <c r="R406" i="15"/>
  <c r="Q406" i="15"/>
  <c r="P406" i="15" s="1"/>
  <c r="M406" i="15"/>
  <c r="L406" i="15"/>
  <c r="X406" i="15" s="1"/>
  <c r="S405" i="15"/>
  <c r="R405" i="15"/>
  <c r="Q405" i="15"/>
  <c r="O405" i="15" s="1"/>
  <c r="M405" i="15"/>
  <c r="L405" i="15"/>
  <c r="X405" i="15" s="1"/>
  <c r="S404" i="15"/>
  <c r="R404" i="15"/>
  <c r="Q404" i="15"/>
  <c r="N404" i="15" s="1"/>
  <c r="M404" i="15"/>
  <c r="L404" i="15"/>
  <c r="X404" i="15" s="1"/>
  <c r="S403" i="15"/>
  <c r="R403" i="15"/>
  <c r="Q403" i="15"/>
  <c r="N403" i="15" s="1"/>
  <c r="M403" i="15"/>
  <c r="L403" i="15"/>
  <c r="X403" i="15" s="1"/>
  <c r="S402" i="15"/>
  <c r="R402" i="15"/>
  <c r="Q402" i="15"/>
  <c r="O402" i="15" s="1"/>
  <c r="M402" i="15"/>
  <c r="L402" i="15"/>
  <c r="X402" i="15" s="1"/>
  <c r="S401" i="15"/>
  <c r="R401" i="15"/>
  <c r="Q401" i="15"/>
  <c r="P401" i="15" s="1"/>
  <c r="M401" i="15"/>
  <c r="L401" i="15"/>
  <c r="X401" i="15" s="1"/>
  <c r="S400" i="15"/>
  <c r="R400" i="15"/>
  <c r="Q400" i="15"/>
  <c r="O400" i="15" s="1"/>
  <c r="M400" i="15"/>
  <c r="L400" i="15"/>
  <c r="X400" i="15" s="1"/>
  <c r="H37" i="21"/>
  <c r="N467" i="15" l="1"/>
  <c r="W469" i="15"/>
  <c r="V469" i="15"/>
  <c r="N468" i="15"/>
  <c r="W468" i="15"/>
  <c r="O467" i="15"/>
  <c r="X467" i="15"/>
  <c r="O468" i="15"/>
  <c r="N469" i="15"/>
  <c r="O469" i="15"/>
  <c r="X469" i="15"/>
  <c r="T467" i="15"/>
  <c r="X468" i="15"/>
  <c r="U467" i="15"/>
  <c r="T468" i="15"/>
  <c r="V467" i="15"/>
  <c r="U468" i="15"/>
  <c r="T469" i="15"/>
  <c r="O417" i="15"/>
  <c r="N430" i="15"/>
  <c r="U435" i="15"/>
  <c r="O453" i="15"/>
  <c r="P421" i="15"/>
  <c r="O428" i="15"/>
  <c r="W441" i="15"/>
  <c r="T400" i="15"/>
  <c r="N440" i="15"/>
  <c r="N431" i="15"/>
  <c r="V435" i="15"/>
  <c r="N466" i="15"/>
  <c r="T413" i="15"/>
  <c r="N418" i="15"/>
  <c r="P462" i="15"/>
  <c r="P417" i="15"/>
  <c r="N419" i="15"/>
  <c r="N455" i="15"/>
  <c r="V459" i="15"/>
  <c r="P464" i="15"/>
  <c r="N411" i="15"/>
  <c r="O451" i="15"/>
  <c r="V409" i="15"/>
  <c r="N416" i="15"/>
  <c r="O440" i="15"/>
  <c r="U400" i="15"/>
  <c r="O410" i="15"/>
  <c r="P426" i="15"/>
  <c r="O430" i="15"/>
  <c r="W453" i="15"/>
  <c r="P460" i="15"/>
  <c r="P400" i="15"/>
  <c r="O404" i="15"/>
  <c r="N406" i="15"/>
  <c r="V434" i="15"/>
  <c r="U447" i="15"/>
  <c r="W407" i="15"/>
  <c r="T434" i="15"/>
  <c r="P402" i="15"/>
  <c r="P404" i="15"/>
  <c r="U422" i="15"/>
  <c r="T424" i="15"/>
  <c r="N454" i="15"/>
  <c r="V422" i="15"/>
  <c r="U424" i="15"/>
  <c r="O465" i="15"/>
  <c r="P415" i="15"/>
  <c r="O429" i="15"/>
  <c r="P448" i="15"/>
  <c r="T435" i="15"/>
  <c r="N464" i="15"/>
  <c r="T458" i="15"/>
  <c r="V458" i="15"/>
  <c r="W434" i="15"/>
  <c r="V446" i="15"/>
  <c r="U448" i="15"/>
  <c r="U404" i="15"/>
  <c r="W419" i="15"/>
  <c r="V444" i="15"/>
  <c r="O441" i="15"/>
  <c r="V421" i="15"/>
  <c r="N405" i="15"/>
  <c r="U410" i="15"/>
  <c r="W414" i="15"/>
  <c r="O422" i="15"/>
  <c r="T425" i="15"/>
  <c r="V427" i="15"/>
  <c r="U433" i="15"/>
  <c r="P441" i="15"/>
  <c r="N443" i="15"/>
  <c r="P445" i="15"/>
  <c r="T401" i="15"/>
  <c r="V403" i="15"/>
  <c r="P405" i="15"/>
  <c r="N407" i="15"/>
  <c r="P409" i="15"/>
  <c r="V410" i="15"/>
  <c r="P424" i="15"/>
  <c r="T459" i="15"/>
  <c r="O406" i="15"/>
  <c r="U409" i="15"/>
  <c r="W410" i="15"/>
  <c r="P412" i="15"/>
  <c r="O418" i="15"/>
  <c r="U421" i="15"/>
  <c r="W422" i="15"/>
  <c r="N429" i="15"/>
  <c r="V433" i="15"/>
  <c r="P438" i="15"/>
  <c r="W444" i="15"/>
  <c r="T447" i="15"/>
  <c r="W455" i="15"/>
  <c r="U458" i="15"/>
  <c r="T461" i="15"/>
  <c r="N465" i="15"/>
  <c r="W433" i="15"/>
  <c r="W409" i="15"/>
  <c r="P414" i="15"/>
  <c r="V415" i="15"/>
  <c r="W421" i="15"/>
  <c r="T436" i="15"/>
  <c r="V447" i="15"/>
  <c r="P451" i="15"/>
  <c r="O454" i="15"/>
  <c r="U457" i="15"/>
  <c r="W458" i="15"/>
  <c r="V432" i="15"/>
  <c r="U436" i="15"/>
  <c r="T446" i="15"/>
  <c r="V457" i="15"/>
  <c r="V408" i="15"/>
  <c r="T412" i="15"/>
  <c r="V420" i="15"/>
  <c r="N428" i="15"/>
  <c r="W432" i="15"/>
  <c r="O434" i="15"/>
  <c r="U446" i="15"/>
  <c r="T449" i="15"/>
  <c r="N453" i="15"/>
  <c r="W457" i="15"/>
  <c r="W402" i="15"/>
  <c r="W408" i="15"/>
  <c r="U412" i="15"/>
  <c r="W420" i="15"/>
  <c r="W426" i="15"/>
  <c r="W443" i="15"/>
  <c r="T460" i="15"/>
  <c r="O416" i="15"/>
  <c r="T423" i="15"/>
  <c r="T429" i="15"/>
  <c r="O439" i="15"/>
  <c r="N442" i="15"/>
  <c r="W446" i="15"/>
  <c r="V456" i="15"/>
  <c r="U460" i="15"/>
  <c r="T405" i="15"/>
  <c r="T411" i="15"/>
  <c r="T417" i="15"/>
  <c r="U423" i="15"/>
  <c r="W429" i="15"/>
  <c r="P433" i="15"/>
  <c r="P439" i="15"/>
  <c r="O442" i="15"/>
  <c r="U445" i="15"/>
  <c r="P450" i="15"/>
  <c r="W456" i="15"/>
  <c r="O458" i="15"/>
  <c r="U411" i="15"/>
  <c r="V423" i="15"/>
  <c r="O427" i="15"/>
  <c r="V445" i="15"/>
  <c r="N452" i="15"/>
  <c r="O403" i="15"/>
  <c r="W405" i="15"/>
  <c r="W417" i="15"/>
  <c r="P403" i="15"/>
  <c r="T410" i="15"/>
  <c r="V411" i="15"/>
  <c r="O415" i="15"/>
  <c r="T422" i="15"/>
  <c r="P427" i="15"/>
  <c r="W431" i="15"/>
  <c r="U434" i="15"/>
  <c r="T437" i="15"/>
  <c r="W445" i="15"/>
  <c r="T448" i="15"/>
  <c r="O452" i="15"/>
  <c r="U459" i="15"/>
  <c r="O463" i="15"/>
  <c r="O466" i="15"/>
  <c r="P436" i="15"/>
  <c r="P457" i="15"/>
  <c r="P463" i="15"/>
  <c r="X466" i="15"/>
  <c r="X421" i="15"/>
  <c r="X433" i="15"/>
  <c r="V400" i="15"/>
  <c r="U401" i="15"/>
  <c r="T402" i="15"/>
  <c r="O407" i="15"/>
  <c r="N408" i="15"/>
  <c r="W411" i="15"/>
  <c r="V412" i="15"/>
  <c r="U413" i="15"/>
  <c r="T414" i="15"/>
  <c r="O419" i="15"/>
  <c r="N420" i="15"/>
  <c r="W423" i="15"/>
  <c r="V424" i="15"/>
  <c r="U425" i="15"/>
  <c r="T426" i="15"/>
  <c r="O431" i="15"/>
  <c r="N432" i="15"/>
  <c r="W435" i="15"/>
  <c r="V436" i="15"/>
  <c r="U437" i="15"/>
  <c r="T438" i="15"/>
  <c r="O443" i="15"/>
  <c r="N444" i="15"/>
  <c r="W447" i="15"/>
  <c r="V448" i="15"/>
  <c r="U449" i="15"/>
  <c r="T450" i="15"/>
  <c r="O455" i="15"/>
  <c r="N456" i="15"/>
  <c r="W459" i="15"/>
  <c r="V460" i="15"/>
  <c r="U461" i="15"/>
  <c r="T462" i="15"/>
  <c r="X407" i="15"/>
  <c r="X409" i="15"/>
  <c r="W400" i="15"/>
  <c r="V401" i="15"/>
  <c r="U402" i="15"/>
  <c r="T403" i="15"/>
  <c r="O408" i="15"/>
  <c r="N409" i="15"/>
  <c r="W412" i="15"/>
  <c r="V413" i="15"/>
  <c r="U414" i="15"/>
  <c r="T415" i="15"/>
  <c r="O420" i="15"/>
  <c r="N421" i="15"/>
  <c r="W424" i="15"/>
  <c r="V425" i="15"/>
  <c r="U426" i="15"/>
  <c r="T427" i="15"/>
  <c r="O432" i="15"/>
  <c r="N433" i="15"/>
  <c r="W436" i="15"/>
  <c r="V437" i="15"/>
  <c r="U438" i="15"/>
  <c r="T439" i="15"/>
  <c r="O444" i="15"/>
  <c r="N445" i="15"/>
  <c r="W448" i="15"/>
  <c r="V449" i="15"/>
  <c r="U450" i="15"/>
  <c r="T451" i="15"/>
  <c r="O456" i="15"/>
  <c r="N457" i="15"/>
  <c r="W460" i="15"/>
  <c r="V461" i="15"/>
  <c r="U462" i="15"/>
  <c r="T463" i="15"/>
  <c r="X430" i="15"/>
  <c r="X442" i="15"/>
  <c r="X419" i="15"/>
  <c r="X445" i="15"/>
  <c r="W401" i="15"/>
  <c r="V402" i="15"/>
  <c r="U403" i="15"/>
  <c r="T404" i="15"/>
  <c r="N410" i="15"/>
  <c r="W413" i="15"/>
  <c r="V414" i="15"/>
  <c r="U415" i="15"/>
  <c r="T416" i="15"/>
  <c r="N422" i="15"/>
  <c r="W425" i="15"/>
  <c r="V426" i="15"/>
  <c r="U427" i="15"/>
  <c r="T428" i="15"/>
  <c r="N434" i="15"/>
  <c r="W437" i="15"/>
  <c r="V438" i="15"/>
  <c r="U439" i="15"/>
  <c r="T440" i="15"/>
  <c r="N446" i="15"/>
  <c r="W449" i="15"/>
  <c r="V450" i="15"/>
  <c r="U451" i="15"/>
  <c r="T452" i="15"/>
  <c r="N458" i="15"/>
  <c r="W461" i="15"/>
  <c r="V462" i="15"/>
  <c r="U463" i="15"/>
  <c r="T464" i="15"/>
  <c r="X455" i="15"/>
  <c r="U416" i="15"/>
  <c r="U428" i="15"/>
  <c r="N435" i="15"/>
  <c r="W438" i="15"/>
  <c r="V439" i="15"/>
  <c r="U440" i="15"/>
  <c r="T441" i="15"/>
  <c r="O446" i="15"/>
  <c r="N447" i="15"/>
  <c r="W450" i="15"/>
  <c r="V451" i="15"/>
  <c r="U452" i="15"/>
  <c r="T453" i="15"/>
  <c r="N459" i="15"/>
  <c r="W462" i="15"/>
  <c r="V463" i="15"/>
  <c r="U464" i="15"/>
  <c r="T465" i="15"/>
  <c r="X420" i="15"/>
  <c r="N400" i="15"/>
  <c r="W403" i="15"/>
  <c r="V404" i="15"/>
  <c r="U405" i="15"/>
  <c r="T406" i="15"/>
  <c r="O411" i="15"/>
  <c r="N412" i="15"/>
  <c r="W415" i="15"/>
  <c r="V416" i="15"/>
  <c r="U417" i="15"/>
  <c r="T418" i="15"/>
  <c r="O423" i="15"/>
  <c r="N424" i="15"/>
  <c r="W427" i="15"/>
  <c r="V428" i="15"/>
  <c r="U429" i="15"/>
  <c r="T430" i="15"/>
  <c r="O435" i="15"/>
  <c r="N436" i="15"/>
  <c r="W439" i="15"/>
  <c r="V440" i="15"/>
  <c r="U441" i="15"/>
  <c r="T442" i="15"/>
  <c r="O447" i="15"/>
  <c r="N448" i="15"/>
  <c r="W451" i="15"/>
  <c r="V452" i="15"/>
  <c r="U453" i="15"/>
  <c r="T454" i="15"/>
  <c r="O459" i="15"/>
  <c r="N460" i="15"/>
  <c r="W463" i="15"/>
  <c r="V464" i="15"/>
  <c r="U465" i="15"/>
  <c r="T466" i="15"/>
  <c r="X408" i="15"/>
  <c r="N423" i="15"/>
  <c r="N401" i="15"/>
  <c r="W404" i="15"/>
  <c r="V405" i="15"/>
  <c r="U406" i="15"/>
  <c r="T407" i="15"/>
  <c r="N413" i="15"/>
  <c r="W416" i="15"/>
  <c r="V417" i="15"/>
  <c r="U418" i="15"/>
  <c r="T419" i="15"/>
  <c r="N425" i="15"/>
  <c r="W428" i="15"/>
  <c r="V429" i="15"/>
  <c r="U430" i="15"/>
  <c r="T431" i="15"/>
  <c r="N437" i="15"/>
  <c r="W440" i="15"/>
  <c r="V441" i="15"/>
  <c r="U442" i="15"/>
  <c r="T443" i="15"/>
  <c r="N449" i="15"/>
  <c r="W452" i="15"/>
  <c r="V453" i="15"/>
  <c r="U454" i="15"/>
  <c r="T455" i="15"/>
  <c r="N461" i="15"/>
  <c r="W464" i="15"/>
  <c r="V465" i="15"/>
  <c r="U466" i="15"/>
  <c r="X454" i="15"/>
  <c r="X443" i="15"/>
  <c r="X432" i="15"/>
  <c r="O401" i="15"/>
  <c r="N402" i="15"/>
  <c r="V418" i="15"/>
  <c r="U419" i="15"/>
  <c r="T420" i="15"/>
  <c r="O425" i="15"/>
  <c r="N426" i="15"/>
  <c r="V430" i="15"/>
  <c r="U431" i="15"/>
  <c r="O437" i="15"/>
  <c r="V442" i="15"/>
  <c r="U443" i="15"/>
  <c r="O449" i="15"/>
  <c r="N450" i="15"/>
  <c r="V454" i="15"/>
  <c r="U455" i="15"/>
  <c r="T456" i="15"/>
  <c r="O461" i="15"/>
  <c r="N462" i="15"/>
  <c r="W465" i="15"/>
  <c r="V466" i="15"/>
  <c r="V406" i="15"/>
  <c r="U407" i="15"/>
  <c r="T408" i="15"/>
  <c r="O413" i="15"/>
  <c r="N414" i="15"/>
  <c r="T432" i="15"/>
  <c r="N438" i="15"/>
  <c r="T444" i="15"/>
  <c r="W406" i="15"/>
  <c r="W418" i="15"/>
  <c r="V431" i="15"/>
  <c r="U444" i="15"/>
  <c r="U456" i="15"/>
  <c r="T457" i="15"/>
  <c r="S399" i="15"/>
  <c r="R399" i="15"/>
  <c r="Q399" i="15"/>
  <c r="P399" i="15" s="1"/>
  <c r="M399" i="15"/>
  <c r="L399" i="15"/>
  <c r="X399" i="15" s="1"/>
  <c r="S398" i="15"/>
  <c r="R398" i="15"/>
  <c r="Q398" i="15"/>
  <c r="N398" i="15" s="1"/>
  <c r="M398" i="15"/>
  <c r="L398" i="15"/>
  <c r="X398" i="15" s="1"/>
  <c r="S397" i="15"/>
  <c r="R397" i="15"/>
  <c r="Q397" i="15"/>
  <c r="O397" i="15" s="1"/>
  <c r="M397" i="15"/>
  <c r="L397" i="15"/>
  <c r="X397" i="15" s="1"/>
  <c r="S396" i="15"/>
  <c r="R396" i="15"/>
  <c r="Q396" i="15"/>
  <c r="P396" i="15" s="1"/>
  <c r="M396" i="15"/>
  <c r="L396" i="15"/>
  <c r="X396" i="15" s="1"/>
  <c r="S395" i="15"/>
  <c r="R395" i="15"/>
  <c r="Q395" i="15"/>
  <c r="N395" i="15" s="1"/>
  <c r="M395" i="15"/>
  <c r="L395" i="15"/>
  <c r="X395" i="15" s="1"/>
  <c r="S394" i="15"/>
  <c r="R394" i="15"/>
  <c r="Q394" i="15"/>
  <c r="O394" i="15" s="1"/>
  <c r="M394" i="15"/>
  <c r="L394" i="15"/>
  <c r="X394" i="15" s="1"/>
  <c r="S393" i="15"/>
  <c r="R393" i="15"/>
  <c r="Q393" i="15"/>
  <c r="P393" i="15" s="1"/>
  <c r="M393" i="15"/>
  <c r="L393" i="15"/>
  <c r="X393" i="15" s="1"/>
  <c r="S392" i="15"/>
  <c r="R392" i="15"/>
  <c r="Q392" i="15"/>
  <c r="O392" i="15" s="1"/>
  <c r="M392" i="15"/>
  <c r="L392" i="15"/>
  <c r="T392" i="15" s="1"/>
  <c r="S391" i="15"/>
  <c r="R391" i="15"/>
  <c r="Q391" i="15"/>
  <c r="O391" i="15" s="1"/>
  <c r="M391" i="15"/>
  <c r="L391" i="15"/>
  <c r="U391" i="15" s="1"/>
  <c r="S390" i="15"/>
  <c r="R390" i="15"/>
  <c r="Q390" i="15"/>
  <c r="O390" i="15" s="1"/>
  <c r="M390" i="15"/>
  <c r="L390" i="15"/>
  <c r="V390" i="15" s="1"/>
  <c r="S389" i="15"/>
  <c r="R389" i="15"/>
  <c r="Q389" i="15"/>
  <c r="P389" i="15" s="1"/>
  <c r="M389" i="15"/>
  <c r="L389" i="15"/>
  <c r="W389" i="15" s="1"/>
  <c r="A496" i="9"/>
  <c r="P392" i="15" l="1"/>
  <c r="N390" i="15"/>
  <c r="P390" i="15"/>
  <c r="P391" i="15"/>
  <c r="P398" i="15"/>
  <c r="V393" i="15"/>
  <c r="U392" i="15"/>
  <c r="V392" i="15"/>
  <c r="P394" i="15"/>
  <c r="W395" i="15"/>
  <c r="W392" i="15"/>
  <c r="W397" i="15"/>
  <c r="V394" i="15"/>
  <c r="W394" i="15"/>
  <c r="T396" i="15"/>
  <c r="T393" i="15"/>
  <c r="V396" i="15"/>
  <c r="U393" i="15"/>
  <c r="P395" i="15"/>
  <c r="W396" i="15"/>
  <c r="N391" i="15"/>
  <c r="W393" i="15"/>
  <c r="U397" i="15"/>
  <c r="O395" i="15"/>
  <c r="V397" i="15"/>
  <c r="U396" i="15"/>
  <c r="N389" i="15"/>
  <c r="T395" i="15"/>
  <c r="O389" i="15"/>
  <c r="N392" i="15"/>
  <c r="T394" i="15"/>
  <c r="U395" i="15"/>
  <c r="W390" i="15"/>
  <c r="U394" i="15"/>
  <c r="V395" i="15"/>
  <c r="P397" i="15"/>
  <c r="O398" i="15"/>
  <c r="N399" i="15"/>
  <c r="O399" i="15"/>
  <c r="T397" i="15"/>
  <c r="T398" i="15"/>
  <c r="X391" i="15"/>
  <c r="U398" i="15"/>
  <c r="T399" i="15"/>
  <c r="X392" i="15"/>
  <c r="N393" i="15"/>
  <c r="V398" i="15"/>
  <c r="U399" i="15"/>
  <c r="X389" i="15"/>
  <c r="O393" i="15"/>
  <c r="N394" i="15"/>
  <c r="T389" i="15"/>
  <c r="W398" i="15"/>
  <c r="V399" i="15"/>
  <c r="V391" i="15"/>
  <c r="X390" i="15"/>
  <c r="W391" i="15"/>
  <c r="T390" i="15"/>
  <c r="N396" i="15"/>
  <c r="W399" i="15"/>
  <c r="U389" i="15"/>
  <c r="V389" i="15"/>
  <c r="U390" i="15"/>
  <c r="T391" i="15"/>
  <c r="O396" i="15"/>
  <c r="N397" i="15"/>
  <c r="S223" i="15"/>
  <c r="R223" i="15"/>
  <c r="Q223" i="15"/>
  <c r="P223" i="15" s="1"/>
  <c r="M223" i="15"/>
  <c r="L223" i="15"/>
  <c r="V223" i="15" s="1"/>
  <c r="S225" i="15"/>
  <c r="R225" i="15"/>
  <c r="Q225" i="15"/>
  <c r="O225" i="15" s="1"/>
  <c r="M225" i="15"/>
  <c r="L225" i="15"/>
  <c r="V225" i="15" s="1"/>
  <c r="S224" i="15"/>
  <c r="R224" i="15"/>
  <c r="Q224" i="15"/>
  <c r="P224" i="15" s="1"/>
  <c r="M224" i="15"/>
  <c r="L224" i="15"/>
  <c r="T224" i="15" s="1"/>
  <c r="S388" i="15"/>
  <c r="R388" i="15"/>
  <c r="Q388" i="15"/>
  <c r="O388" i="15" s="1"/>
  <c r="M388" i="15"/>
  <c r="L388" i="15"/>
  <c r="W388" i="15" s="1"/>
  <c r="S387" i="15"/>
  <c r="R387" i="15"/>
  <c r="Q387" i="15"/>
  <c r="P387" i="15" s="1"/>
  <c r="M387" i="15"/>
  <c r="L387" i="15"/>
  <c r="X387" i="15" s="1"/>
  <c r="N223" i="15" l="1"/>
  <c r="W224" i="15"/>
  <c r="X388" i="15"/>
  <c r="U224" i="15"/>
  <c r="X224" i="15"/>
  <c r="U387" i="15"/>
  <c r="V387" i="15"/>
  <c r="T387" i="15"/>
  <c r="O223" i="15"/>
  <c r="P388" i="15"/>
  <c r="V224" i="15"/>
  <c r="W223" i="15"/>
  <c r="X223" i="15"/>
  <c r="T388" i="15"/>
  <c r="O387" i="15"/>
  <c r="V388" i="15"/>
  <c r="N387" i="15"/>
  <c r="U388" i="15"/>
  <c r="P225" i="15"/>
  <c r="N225" i="15"/>
  <c r="W387" i="15"/>
  <c r="T225" i="15"/>
  <c r="U225" i="15"/>
  <c r="W225" i="15"/>
  <c r="X225" i="15"/>
  <c r="N224" i="15"/>
  <c r="T223" i="15"/>
  <c r="N388" i="15"/>
  <c r="O224" i="15"/>
  <c r="U2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497" i="9" l="1"/>
  <c r="Q12" i="9"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183" i="9" l="1"/>
  <c r="P307" i="9"/>
  <c r="P6" i="9"/>
  <c r="Q179" i="9"/>
  <c r="Q192" i="9"/>
  <c r="P180" i="9"/>
  <c r="P7" i="9"/>
  <c r="P250" i="9"/>
  <c r="P15" i="9"/>
  <c r="P17" i="9"/>
  <c r="P295" i="9"/>
  <c r="Q72" i="9"/>
  <c r="P177" i="9"/>
  <c r="Q24" i="9"/>
  <c r="O32" i="9" s="1"/>
  <c r="P298" i="9"/>
  <c r="Q41" i="9"/>
  <c r="Q105" i="9"/>
  <c r="O113" i="9" s="1"/>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349" i="9"/>
  <c r="O185" i="9"/>
  <c r="P266" i="9"/>
  <c r="Q83" i="9"/>
  <c r="Q285" i="9"/>
  <c r="P185" i="9"/>
  <c r="P194" i="9" s="1"/>
  <c r="Q153" i="9"/>
  <c r="O97" i="9"/>
  <c r="P115" i="9" s="1"/>
  <c r="P100" i="9"/>
  <c r="Q182" i="9"/>
  <c r="Q163" i="9"/>
  <c r="Q135" i="9"/>
  <c r="Q242" i="9"/>
  <c r="O2" i="7"/>
  <c r="Q251" i="9" l="1"/>
  <c r="Q108" i="9"/>
  <c r="P122" i="9" s="1"/>
  <c r="Q74" i="9"/>
  <c r="P112" i="9"/>
  <c r="P97" i="9"/>
  <c r="Q287" i="9"/>
  <c r="Q289" i="9" s="1"/>
  <c r="P289" i="9" s="1"/>
  <c r="Q27" i="9"/>
  <c r="P72" i="9" s="1"/>
  <c r="Q397" i="9"/>
  <c r="P397" i="9" s="1"/>
  <c r="P309" i="9"/>
  <c r="P349" i="9"/>
  <c r="P330" i="9"/>
  <c r="Q351" i="9"/>
  <c r="Q353" i="9" s="1"/>
  <c r="O24" i="9"/>
  <c r="P36" i="9" s="1"/>
  <c r="O112" i="9"/>
  <c r="P13" i="9"/>
  <c r="P304" i="9"/>
  <c r="P118" i="9"/>
  <c r="Q231" i="9"/>
  <c r="Q233" i="9" s="1"/>
  <c r="P233" i="9" s="1"/>
  <c r="Q155" i="9"/>
  <c r="P186" i="9"/>
  <c r="Q186" i="9"/>
  <c r="P113" i="9"/>
  <c r="P121" i="9"/>
  <c r="O314" i="9"/>
  <c r="P314" i="9" s="1"/>
  <c r="O108" i="9"/>
  <c r="P116"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P155" i="9" l="1"/>
  <c r="P135" i="9"/>
  <c r="P153" i="9"/>
  <c r="P108" i="9"/>
  <c r="AL407" i="9"/>
  <c r="Q85" i="9"/>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L3" i="17" l="1"/>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L113" i="9" l="1"/>
  <c r="L112" i="9"/>
  <c r="AF496" i="9"/>
  <c r="J15" i="9"/>
  <c r="L31" i="9"/>
  <c r="L241" i="9"/>
  <c r="J14" i="21"/>
  <c r="J11" i="21"/>
  <c r="E14" i="21"/>
  <c r="E11" i="21"/>
  <c r="L96" i="9"/>
  <c r="S96" i="9" s="1"/>
  <c r="L96" i="12"/>
  <c r="E12" i="21"/>
  <c r="J12" i="21"/>
  <c r="J96" i="12"/>
  <c r="J96" i="9"/>
  <c r="J95" i="9"/>
  <c r="J94" i="9"/>
  <c r="L95" i="9"/>
  <c r="L94" i="9"/>
  <c r="L103" i="9"/>
  <c r="L100" i="9"/>
  <c r="J100" i="9"/>
  <c r="L102" i="9"/>
  <c r="L104" i="9"/>
  <c r="L191" i="9"/>
  <c r="L191" i="12"/>
  <c r="J191" i="9"/>
  <c r="L97" i="9" l="1"/>
  <c r="K96" i="12"/>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9" i="16"/>
  <c r="K157" i="16"/>
  <c r="K155" i="16"/>
  <c r="K153" i="16"/>
  <c r="K150" i="16"/>
  <c r="K148" i="16"/>
  <c r="K143" i="16"/>
  <c r="K141" i="16"/>
  <c r="K140" i="16"/>
  <c r="K139" i="16"/>
  <c r="K138" i="16"/>
  <c r="K137" i="16"/>
  <c r="K136" i="16"/>
  <c r="K135" i="16"/>
  <c r="K134" i="16"/>
  <c r="K133" i="16"/>
  <c r="K132" i="16"/>
  <c r="K130" i="16"/>
  <c r="K129" i="16"/>
  <c r="K128" i="16"/>
  <c r="K127" i="16"/>
  <c r="K126" i="16"/>
  <c r="K124" i="16"/>
  <c r="K114" i="16"/>
  <c r="K111" i="16"/>
  <c r="K110" i="16"/>
  <c r="K107" i="16"/>
  <c r="K105" i="16"/>
  <c r="K104" i="16"/>
  <c r="K103" i="16"/>
  <c r="K102" i="16"/>
  <c r="K100" i="16"/>
  <c r="K96" i="16"/>
  <c r="K95" i="16"/>
  <c r="K94" i="16"/>
  <c r="K93" i="16"/>
  <c r="K92" i="16"/>
  <c r="K91" i="16"/>
  <c r="K90" i="16"/>
  <c r="K89" i="16"/>
  <c r="K85" i="16"/>
  <c r="K83"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L32" i="12" s="1"/>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Z496" i="9" l="1"/>
  <c r="F75" i="9"/>
  <c r="V402" i="9"/>
  <c r="F7" i="21"/>
  <c r="F20" i="21" s="1"/>
  <c r="F12" i="21"/>
  <c r="Q3" i="20"/>
  <c r="P3" i="20"/>
  <c r="O3" i="20"/>
  <c r="F265" i="12" a="1"/>
  <c r="F265" i="12" s="1"/>
  <c r="Z453" i="9"/>
  <c r="D99" i="9"/>
  <c r="E99" i="9" s="1"/>
  <c r="F96" i="9"/>
  <c r="N96" i="9" s="1"/>
  <c r="Z457" i="9"/>
  <c r="Z455" i="9"/>
  <c r="Z494" i="9"/>
  <c r="AI494" i="9" s="1"/>
  <c r="Z460" i="9"/>
  <c r="Z493" i="9"/>
  <c r="Z491" i="9"/>
  <c r="Z458" i="9"/>
  <c r="Z469" i="9"/>
  <c r="Z461" i="9"/>
  <c r="Z477" i="9"/>
  <c r="Z420" i="9"/>
  <c r="Z492" i="9"/>
  <c r="AI492" i="9" s="1"/>
  <c r="Z456" i="9"/>
  <c r="AI456" i="9" s="1"/>
  <c r="Z454"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N191" i="9" s="1"/>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13"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44" i="16"/>
  <c r="G936" i="16"/>
  <c r="G928" i="16"/>
  <c r="G920" i="16"/>
  <c r="G912" i="16"/>
  <c r="G943" i="16"/>
  <c r="G935" i="16"/>
  <c r="G927" i="16"/>
  <c r="G919" i="16"/>
  <c r="G911" i="16"/>
  <c r="G942" i="16"/>
  <c r="G934" i="16"/>
  <c r="G926" i="16"/>
  <c r="G918" i="16"/>
  <c r="G949" i="16"/>
  <c r="G941" i="16"/>
  <c r="G933" i="16"/>
  <c r="G925" i="16"/>
  <c r="G917" i="16"/>
  <c r="G947" i="16"/>
  <c r="G939" i="16"/>
  <c r="G931" i="16"/>
  <c r="G923" i="16"/>
  <c r="G915" i="16"/>
  <c r="G946" i="16"/>
  <c r="G938" i="16"/>
  <c r="G930" i="16"/>
  <c r="G922" i="16"/>
  <c r="G914" i="16"/>
  <c r="G932" i="16"/>
  <c r="G929" i="16"/>
  <c r="G924" i="16"/>
  <c r="G921" i="16"/>
  <c r="G948" i="16"/>
  <c r="G916" i="16"/>
  <c r="G940" i="16"/>
  <c r="G937" i="16"/>
  <c r="G945"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F176" i="9" l="1"/>
  <c r="AL412" i="9"/>
  <c r="AK412" i="9" s="1"/>
  <c r="AL476" i="9"/>
  <c r="AO476" i="9" s="1"/>
  <c r="E177" i="9"/>
  <c r="E180" i="9"/>
  <c r="E201" i="9"/>
  <c r="Z476" i="9"/>
  <c r="AL422" i="9"/>
  <c r="AL443" i="9"/>
  <c r="AL479" i="9"/>
  <c r="AL444" i="9"/>
  <c r="AL409" i="9"/>
  <c r="Z475" i="9"/>
  <c r="AL473" i="9"/>
  <c r="AO473" i="9" s="1"/>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D113" i="9" s="1"/>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G8" i="11" s="1"/>
  <c r="I3" i="3"/>
  <c r="I3" i="5"/>
  <c r="K3" i="3"/>
  <c r="J3" i="3"/>
  <c r="P3" i="5"/>
  <c r="AE3" i="3"/>
  <c r="AD3" i="3"/>
  <c r="AF3" i="3"/>
  <c r="L11" i="12"/>
  <c r="L75" i="12"/>
  <c r="L43" i="12"/>
  <c r="L5" i="12"/>
  <c r="L76" i="12"/>
  <c r="L46" i="12"/>
  <c r="L23" i="12"/>
  <c r="L12" i="12"/>
  <c r="H4" i="11"/>
  <c r="F9" i="11"/>
  <c r="G9" i="11" s="1"/>
  <c r="L60" i="12"/>
  <c r="J6" i="12"/>
  <c r="L58" i="12"/>
  <c r="L61" i="12"/>
  <c r="L63" i="12"/>
  <c r="F4" i="11"/>
  <c r="F15" i="11"/>
  <c r="G15" i="11" s="1"/>
  <c r="AG3" i="3"/>
  <c r="Q3" i="5"/>
  <c r="AI3" i="3"/>
  <c r="AH3" i="3"/>
  <c r="E42" i="8"/>
  <c r="S69" i="9"/>
  <c r="R181" i="9"/>
  <c r="E59" i="8"/>
  <c r="E47" i="8"/>
  <c r="E28" i="8"/>
  <c r="L50" i="12"/>
  <c r="L10" i="12"/>
  <c r="L37" i="12"/>
  <c r="L34" i="12"/>
  <c r="L80" i="12"/>
  <c r="L67" i="12"/>
  <c r="L22" i="12"/>
  <c r="F5" i="11"/>
  <c r="G5" i="11" s="1"/>
  <c r="D7" i="8"/>
  <c r="D11" i="8"/>
  <c r="D45" i="8"/>
  <c r="AO492" i="9"/>
  <c r="AO494" i="9"/>
  <c r="AO456" i="9"/>
  <c r="R244" i="9"/>
  <c r="R247" i="9"/>
  <c r="L68" i="12"/>
  <c r="F6" i="11"/>
  <c r="G6" i="11" s="1"/>
  <c r="E5" i="5"/>
  <c r="D28" i="8"/>
  <c r="D53" i="8"/>
  <c r="D57" i="8"/>
  <c r="D51" i="8"/>
  <c r="AF474" i="12"/>
  <c r="L45" i="12"/>
  <c r="L7" i="12"/>
  <c r="H16" i="11"/>
  <c r="F7" i="11"/>
  <c r="G7" i="11" s="1"/>
  <c r="Y3" i="3"/>
  <c r="N3" i="5"/>
  <c r="Z3" i="3"/>
  <c r="X3" i="3"/>
  <c r="D24" i="8"/>
  <c r="D40" i="8"/>
  <c r="Q191" i="12" l="1" a="1"/>
  <c r="Q191" i="12" s="1"/>
  <c r="Q188" i="12" a="1"/>
  <c r="Q188" i="12" s="1"/>
  <c r="D26" i="8"/>
  <c r="D112" i="9"/>
  <c r="L13" i="9"/>
  <c r="L192" i="9"/>
  <c r="M191" i="9"/>
  <c r="K113" i="9"/>
  <c r="J113" i="9"/>
  <c r="K14" i="21"/>
  <c r="L14" i="21" s="1"/>
  <c r="M14" i="21" s="1"/>
  <c r="K11" i="21"/>
  <c r="L11" i="21" s="1"/>
  <c r="M11" i="21" s="1"/>
  <c r="AJ412" i="9"/>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60" i="12" a="1"/>
  <c r="AL460" i="12" s="1"/>
  <c r="AN460" i="12" s="1"/>
  <c r="AO460" i="12" s="1"/>
  <c r="AL456" i="12" a="1"/>
  <c r="AL456" i="12" s="1"/>
  <c r="AO456" i="12" s="1"/>
  <c r="AL448" i="12" a="1"/>
  <c r="AL448" i="12" s="1"/>
  <c r="AN448" i="12" s="1"/>
  <c r="AO448" i="12" s="1"/>
  <c r="O312" i="12" a="1"/>
  <c r="O312" i="12" s="1"/>
  <c r="P312" i="12" s="1"/>
  <c r="O307" i="12" a="1"/>
  <c r="O307" i="12" s="1"/>
  <c r="R307" i="12" s="1"/>
  <c r="O302" i="12" a="1"/>
  <c r="O302" i="12" s="1"/>
  <c r="P302" i="12" s="1"/>
  <c r="O300" i="12" a="1"/>
  <c r="O300" i="12" s="1"/>
  <c r="R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S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S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AO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S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AN455" i="12" s="1"/>
  <c r="AO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S188" i="12"/>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S295" i="12" s="1"/>
  <c r="Q282" i="12" a="1"/>
  <c r="Q282" i="12" s="1"/>
  <c r="S282" i="12" s="1"/>
  <c r="Q278" i="12" a="1"/>
  <c r="Q278" i="12" s="1"/>
  <c r="S278" i="12" s="1"/>
  <c r="Q274" i="12" a="1"/>
  <c r="Q274" i="12" s="1"/>
  <c r="S274" i="12" s="1"/>
  <c r="Q269" i="12" a="1"/>
  <c r="Q269" i="12" s="1"/>
  <c r="S269" i="12" s="1"/>
  <c r="Q264" i="12" a="1"/>
  <c r="Q264" i="12" s="1"/>
  <c r="S264" i="12" s="1"/>
  <c r="Q241" i="12" a="1"/>
  <c r="Q241" i="12" s="1"/>
  <c r="S241" i="12" s="1"/>
  <c r="Q227" i="12" a="1"/>
  <c r="Q227" i="12" s="1"/>
  <c r="S227" i="12" s="1"/>
  <c r="Q216" i="12" a="1"/>
  <c r="Q216" i="12" s="1"/>
  <c r="Q212" i="12" a="1"/>
  <c r="Q212" i="12" s="1"/>
  <c r="S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S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S348" i="12" s="1"/>
  <c r="Q344" i="12" a="1"/>
  <c r="Q344" i="12" s="1"/>
  <c r="S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S281" i="12" s="1"/>
  <c r="Q244" i="12" a="1"/>
  <c r="Q244" i="12" s="1"/>
  <c r="S245"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S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R172" i="12" s="1"/>
  <c r="Q134" i="12" a="1"/>
  <c r="Q134" i="12" s="1"/>
  <c r="S134" i="12" s="1"/>
  <c r="Q79" i="12" a="1"/>
  <c r="Q79" i="12" s="1"/>
  <c r="S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S64" i="12" s="1"/>
  <c r="Q61" i="12" a="1"/>
  <c r="Q61" i="12" s="1"/>
  <c r="S61" i="12" s="1"/>
  <c r="Q58" i="12" a="1"/>
  <c r="Q58" i="12" s="1"/>
  <c r="S58" i="12" s="1"/>
  <c r="Q55" i="12" a="1"/>
  <c r="Q55" i="12" s="1"/>
  <c r="S55" i="12" s="1"/>
  <c r="Q48" i="12" a="1"/>
  <c r="Q48" i="12" s="1"/>
  <c r="S48" i="12" s="1"/>
  <c r="Q23" i="12" a="1"/>
  <c r="Q23" i="12" s="1"/>
  <c r="S23" i="12" s="1"/>
  <c r="O6" i="12" a="1"/>
  <c r="O6" i="12" s="1"/>
  <c r="R6" i="12" s="1"/>
  <c r="O9" i="12" a="1"/>
  <c r="O9" i="12" s="1"/>
  <c r="P9" i="12" s="1"/>
  <c r="Q11" i="12" a="1"/>
  <c r="Q11" i="12" s="1"/>
  <c r="S11" i="12" s="1"/>
  <c r="O8" i="12" a="1"/>
  <c r="O8" i="12" s="1"/>
  <c r="P8" i="12" s="1"/>
  <c r="Q5" i="12" a="1"/>
  <c r="Q5" i="12" s="1"/>
  <c r="AL496" i="12" a="1"/>
  <c r="AL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L390" i="12"/>
  <c r="L182" i="9"/>
  <c r="N6"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J185" i="12"/>
  <c r="D6" i="14"/>
  <c r="D8" i="14"/>
  <c r="S265" i="12"/>
  <c r="S337" i="12"/>
  <c r="D21" i="8"/>
  <c r="D27" i="8" s="1"/>
  <c r="D30" i="8"/>
  <c r="R308" i="9"/>
  <c r="R298" i="12"/>
  <c r="E11" i="8"/>
  <c r="D64" i="8"/>
  <c r="E40" i="8"/>
  <c r="E38" i="8"/>
  <c r="R302" i="9"/>
  <c r="R298" i="9"/>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80" i="9"/>
  <c r="S323" i="9"/>
  <c r="S48" i="9"/>
  <c r="S262" i="9"/>
  <c r="S38" i="9"/>
  <c r="S181" i="9"/>
  <c r="S282" i="9"/>
  <c r="AF411" i="12"/>
  <c r="L41" i="12"/>
  <c r="AF409" i="12"/>
  <c r="L330" i="12"/>
  <c r="S11" i="9"/>
  <c r="S202" i="9"/>
  <c r="S322" i="9"/>
  <c r="S394" i="9"/>
  <c r="S66" i="9"/>
  <c r="AF446" i="9"/>
  <c r="AH446" i="9" s="1"/>
  <c r="AI446" i="9" s="1"/>
  <c r="S139" i="9"/>
  <c r="S147" i="9"/>
  <c r="S200" i="9"/>
  <c r="K15"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L266" i="12"/>
  <c r="AF448" i="9"/>
  <c r="AH448" i="9" s="1"/>
  <c r="AI448" i="9" s="1"/>
  <c r="S141" i="9"/>
  <c r="S268" i="9"/>
  <c r="K100" i="12"/>
  <c r="K99" i="12"/>
  <c r="S216" i="12"/>
  <c r="V207" i="12"/>
  <c r="D5" i="14"/>
  <c r="S296" i="12"/>
  <c r="R303" i="9"/>
  <c r="S248" i="9"/>
  <c r="E7" i="8"/>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AF470" i="12"/>
  <c r="L210" i="12"/>
  <c r="K95" i="12"/>
  <c r="S201" i="12"/>
  <c r="V206" i="12"/>
  <c r="S206" i="12"/>
  <c r="R360" i="9"/>
  <c r="E58" i="8"/>
  <c r="E52" i="8"/>
  <c r="R297" i="9"/>
  <c r="S6" i="10"/>
  <c r="R172" i="9"/>
  <c r="AO449" i="9"/>
  <c r="AO479" i="9"/>
  <c r="AO425" i="9"/>
  <c r="AO426" i="9"/>
  <c r="AO451" i="9"/>
  <c r="AO478" i="9"/>
  <c r="AO42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L122" i="12"/>
  <c r="S323" i="12"/>
  <c r="S222" i="12"/>
  <c r="V208" i="12"/>
  <c r="AR474" i="12"/>
  <c r="E41" i="8"/>
  <c r="K6" i="12"/>
  <c r="J13" i="12"/>
  <c r="J24" i="12" s="1"/>
  <c r="AF472" i="12"/>
  <c r="B9" i="11"/>
  <c r="C53" i="8"/>
  <c r="B15" i="14"/>
  <c r="K30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312" i="12"/>
  <c r="R312" i="12" s="1"/>
  <c r="L242" i="12"/>
  <c r="S270" i="12"/>
  <c r="K266" i="12"/>
  <c r="L245" i="12"/>
  <c r="L250" i="12"/>
  <c r="C41" i="8"/>
  <c r="J362" i="9"/>
  <c r="K362" i="9" s="1"/>
  <c r="K360" i="9"/>
  <c r="B14" i="14"/>
  <c r="K307" i="12"/>
  <c r="AR455" i="12"/>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R99" i="12" l="1"/>
  <c r="S371" i="12"/>
  <c r="Q192" i="12"/>
  <c r="S390" i="12"/>
  <c r="S94" i="12"/>
  <c r="S97" i="12" s="1"/>
  <c r="Q97" i="12"/>
  <c r="Z480" i="12"/>
  <c r="R301" i="12"/>
  <c r="S244" i="12"/>
  <c r="K23" i="21"/>
  <c r="S370" i="12"/>
  <c r="S386" i="12"/>
  <c r="S380" i="12"/>
  <c r="R302" i="12"/>
  <c r="Q179" i="12"/>
  <c r="S178" i="12"/>
  <c r="S388" i="12"/>
  <c r="S389" i="12"/>
  <c r="R303" i="12"/>
  <c r="S394" i="12"/>
  <c r="S381" i="12"/>
  <c r="J23" i="21"/>
  <c r="L23" i="21" s="1"/>
  <c r="M23" i="21" s="1"/>
  <c r="L6" i="21"/>
  <c r="M6" i="21" s="1"/>
  <c r="J33" i="10"/>
  <c r="J34" i="10" s="1"/>
  <c r="N83" i="9"/>
  <c r="P300" i="12"/>
  <c r="AN496" i="12"/>
  <c r="AO496" i="12" s="1"/>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R185" i="12" s="1"/>
  <c r="S157" i="12"/>
  <c r="AN495" i="12"/>
  <c r="AO495" i="12" s="1"/>
  <c r="R296" i="12"/>
  <c r="S175" i="12"/>
  <c r="S373" i="12"/>
  <c r="AN494" i="12"/>
  <c r="AH440" i="12"/>
  <c r="AN497" i="12"/>
  <c r="AO497" i="12" s="1"/>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Q266" i="12"/>
  <c r="S266" i="12" s="1"/>
  <c r="O362" i="12"/>
  <c r="R360" i="12"/>
  <c r="S242" i="9"/>
  <c r="E6" i="12"/>
  <c r="F13" i="12"/>
  <c r="F135" i="12"/>
  <c r="F185" i="12"/>
  <c r="F173" i="12"/>
  <c r="AL409" i="12"/>
  <c r="AN409" i="12" s="1"/>
  <c r="AO409" i="12" s="1"/>
  <c r="Q41" i="12"/>
  <c r="S41" i="12" s="1"/>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Q173" i="12"/>
  <c r="Q304" i="12"/>
  <c r="Q309" i="12" s="1"/>
  <c r="Q314" i="12" s="1"/>
  <c r="Q248" i="12"/>
  <c r="Z409" i="12"/>
  <c r="F41" i="12"/>
  <c r="Z413" i="12"/>
  <c r="Z421" i="12"/>
  <c r="F54" i="12"/>
  <c r="F72" i="12"/>
  <c r="Z434" i="12"/>
  <c r="F105" i="12"/>
  <c r="F189" i="12"/>
  <c r="F248" i="12"/>
  <c r="F330" i="12"/>
  <c r="F192" i="12"/>
  <c r="AL439" i="12"/>
  <c r="AL421" i="12"/>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F423" i="12"/>
  <c r="AR423" i="12" s="1"/>
  <c r="AF447" i="12"/>
  <c r="S242" i="12"/>
  <c r="AF432" i="12"/>
  <c r="AR432" i="12" s="1"/>
  <c r="AF451" i="12"/>
  <c r="AR451" i="12" s="1"/>
  <c r="AF443" i="12"/>
  <c r="AR443" i="12" s="1"/>
  <c r="AF426" i="12"/>
  <c r="AR426" i="12" s="1"/>
  <c r="AF479" i="12"/>
  <c r="AF418" i="12"/>
  <c r="AF444" i="12"/>
  <c r="AR444" i="12" s="1"/>
  <c r="AF417" i="12"/>
  <c r="AR417" i="12" s="1"/>
  <c r="AF416" i="12"/>
  <c r="AE416" i="12" s="1"/>
  <c r="AF478" i="12"/>
  <c r="AF425" i="12"/>
  <c r="AF438" i="12"/>
  <c r="AF449" i="12"/>
  <c r="AF427" i="12"/>
  <c r="AR427" i="12" s="1"/>
  <c r="AF450" i="12"/>
  <c r="AR450" i="12" s="1"/>
  <c r="AF477" i="12"/>
  <c r="AN477" i="12" s="1"/>
  <c r="AO477" i="12" s="1"/>
  <c r="L360" i="12"/>
  <c r="K360" i="12"/>
  <c r="J362" i="12"/>
  <c r="K362" i="12" s="1"/>
  <c r="S378" i="12"/>
  <c r="L395" i="12"/>
  <c r="S365" i="12"/>
  <c r="L377" i="12"/>
  <c r="S153" i="9"/>
  <c r="N13" i="9"/>
  <c r="N14" i="9" s="1"/>
  <c r="J31" i="9"/>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O477" i="9" s="1"/>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O495" i="9" s="1"/>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O497" i="9" s="1"/>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F401" i="9" l="1"/>
  <c r="S185" i="12"/>
  <c r="S186" i="12" s="1"/>
  <c r="Q194" i="12"/>
  <c r="S122" i="12"/>
  <c r="Q155" i="12"/>
  <c r="S155" i="12" s="1"/>
  <c r="AN421" i="12"/>
  <c r="AO421" i="12" s="1"/>
  <c r="AL433" i="12"/>
  <c r="AN428" i="12"/>
  <c r="AO428" i="12" s="1"/>
  <c r="AN479" i="12"/>
  <c r="AO479" i="12" s="1"/>
  <c r="AN446" i="12"/>
  <c r="AO446" i="12" s="1"/>
  <c r="AN424" i="12"/>
  <c r="AO424" i="12" s="1"/>
  <c r="X466" i="9"/>
  <c r="N27" i="9"/>
  <c r="N85" i="9" s="1"/>
  <c r="AN441" i="12"/>
  <c r="AO441" i="12" s="1"/>
  <c r="N6" i="10"/>
  <c r="L24" i="21"/>
  <c r="M24" i="21" s="1"/>
  <c r="S304" i="12"/>
  <c r="S305" i="12" s="1"/>
  <c r="AN425" i="12"/>
  <c r="AO425" i="12" s="1"/>
  <c r="AN418" i="12"/>
  <c r="AO418" i="12" s="1"/>
  <c r="S14" i="12"/>
  <c r="AN445" i="12"/>
  <c r="AO445" i="12" s="1"/>
  <c r="AN435" i="12"/>
  <c r="AO435" i="12" s="1"/>
  <c r="P186" i="12"/>
  <c r="AJ468" i="9"/>
  <c r="AL483" i="9"/>
  <c r="AN436" i="12"/>
  <c r="AO436" i="12" s="1"/>
  <c r="P349" i="12"/>
  <c r="M27" i="9"/>
  <c r="M28" i="9" s="1"/>
  <c r="K78" i="9"/>
  <c r="J78" i="9" s="1"/>
  <c r="R13" i="12"/>
  <c r="R14" i="12" s="1"/>
  <c r="S395" i="12"/>
  <c r="K8" i="21"/>
  <c r="K10" i="21"/>
  <c r="L10" i="21" s="1"/>
  <c r="K22" i="21"/>
  <c r="L22" i="21" s="1"/>
  <c r="M22" i="21" s="1"/>
  <c r="L9" i="21"/>
  <c r="M9" i="21" s="1"/>
  <c r="AO466" i="12"/>
  <c r="Q351" i="12"/>
  <c r="P351" i="12" s="1"/>
  <c r="Q27" i="12"/>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S363" i="12"/>
  <c r="Y412" i="12"/>
  <c r="E117" i="12"/>
  <c r="F194" i="12"/>
  <c r="F186" i="12"/>
  <c r="P112" i="12"/>
  <c r="Y417" i="12"/>
  <c r="Y416" i="12"/>
  <c r="Y411" i="12"/>
  <c r="AK418" i="12"/>
  <c r="AK414" i="12"/>
  <c r="O108" i="12"/>
  <c r="R108" i="12" s="1"/>
  <c r="R109" i="12" s="1"/>
  <c r="P97" i="12"/>
  <c r="O105" i="12"/>
  <c r="P105" i="12" s="1"/>
  <c r="E186" i="12"/>
  <c r="F251" i="12"/>
  <c r="E285" i="12"/>
  <c r="P115" i="12"/>
  <c r="P210" i="12"/>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O426" i="12" s="1"/>
  <c r="AR430" i="12"/>
  <c r="AR428" i="12"/>
  <c r="S155" i="9"/>
  <c r="AN423" i="12"/>
  <c r="AO423" i="12" s="1"/>
  <c r="AN443" i="12"/>
  <c r="AO443" i="12" s="1"/>
  <c r="AN451" i="12"/>
  <c r="AO451" i="12" s="1"/>
  <c r="AR447" i="12"/>
  <c r="AR418" i="12"/>
  <c r="AE418" i="12"/>
  <c r="AN416" i="12"/>
  <c r="AO416" i="12" s="1"/>
  <c r="AR438" i="12"/>
  <c r="AF452" i="12"/>
  <c r="AR452" i="12" s="1"/>
  <c r="AN444" i="12"/>
  <c r="AO444" i="12" s="1"/>
  <c r="AN450" i="12"/>
  <c r="AO450" i="12" s="1"/>
  <c r="AN449" i="12"/>
  <c r="AO449" i="12" s="1"/>
  <c r="AR449" i="12"/>
  <c r="AR479" i="12"/>
  <c r="AE417" i="12"/>
  <c r="AR477" i="12"/>
  <c r="AF419" i="12"/>
  <c r="AN417" i="12"/>
  <c r="AO417" i="12" s="1"/>
  <c r="AN427" i="12"/>
  <c r="AO427" i="12" s="1"/>
  <c r="AR416" i="12"/>
  <c r="AF481" i="12"/>
  <c r="AR481" i="12" s="1"/>
  <c r="AR425" i="12"/>
  <c r="AN478" i="12"/>
  <c r="AO478" i="12" s="1"/>
  <c r="AR478" i="12"/>
  <c r="AF433" i="12"/>
  <c r="S377" i="12"/>
  <c r="L397" i="12"/>
  <c r="K377" i="12"/>
  <c r="K395" i="12"/>
  <c r="L362" i="12"/>
  <c r="S362" i="12" s="1"/>
  <c r="S360" i="12"/>
  <c r="S229" i="12"/>
  <c r="D73" i="8"/>
  <c r="L233" i="9"/>
  <c r="N233" i="9" s="1"/>
  <c r="L28" i="9"/>
  <c r="K72" i="12"/>
  <c r="S285" i="12"/>
  <c r="E72" i="8"/>
  <c r="E31" i="8"/>
  <c r="E23" i="8"/>
  <c r="K54"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AL407" i="12" l="1"/>
  <c r="AJ433" i="12" s="1"/>
  <c r="P54" i="12"/>
  <c r="AL468" i="12"/>
  <c r="S351" i="12"/>
  <c r="Q353" i="12"/>
  <c r="P27" i="12"/>
  <c r="N28" i="9"/>
  <c r="E108" i="12"/>
  <c r="P72" i="12"/>
  <c r="X407" i="9"/>
  <c r="AF407" i="9"/>
  <c r="AD407" i="9" s="1"/>
  <c r="P41" i="12"/>
  <c r="S27" i="12"/>
  <c r="S28" i="12" s="1"/>
  <c r="Q85" i="12"/>
  <c r="S85" i="12" s="1"/>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P122" i="12"/>
  <c r="F85" i="12"/>
  <c r="P155"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AN452" i="12"/>
  <c r="AO452" i="12" s="1"/>
  <c r="AF468" i="12"/>
  <c r="AR468" i="12" s="1"/>
  <c r="AR419" i="12"/>
  <c r="AR433" i="12"/>
  <c r="AN419" i="12"/>
  <c r="AO419" i="12" s="1"/>
  <c r="L399" i="12"/>
  <c r="S397" i="12"/>
  <c r="K397" i="12"/>
  <c r="E62" i="8"/>
  <c r="L353" i="9"/>
  <c r="L400" i="9" s="1"/>
  <c r="L401"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AL483" i="12" l="1"/>
  <c r="AL489" i="12" s="1"/>
  <c r="AH407" i="9"/>
  <c r="AI407" i="9" s="1"/>
  <c r="X419" i="12"/>
  <c r="X468" i="12"/>
  <c r="X466" i="12"/>
  <c r="AL498" i="9"/>
  <c r="AK489" i="9"/>
  <c r="Z483" i="12"/>
  <c r="Z489" i="12" s="1"/>
  <c r="U27" i="12"/>
  <c r="X433" i="12"/>
  <c r="S399" i="12"/>
  <c r="X481" i="12"/>
  <c r="AJ468" i="12"/>
  <c r="AJ419" i="12"/>
  <c r="AJ466" i="12"/>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Z488" i="12" l="1"/>
  <c r="Z498" i="12"/>
  <c r="Y488" i="12"/>
  <c r="AL498" i="12"/>
  <c r="AK498" i="12" s="1"/>
  <c r="AL488" i="12"/>
  <c r="AK488" i="12" s="1"/>
  <c r="AK498" i="9"/>
  <c r="Y498" i="9"/>
  <c r="Y483" i="12"/>
  <c r="AK483" i="12"/>
  <c r="AJ407" i="12"/>
  <c r="Y489" i="12"/>
  <c r="AK489" i="12"/>
  <c r="G73" i="8"/>
  <c r="I73" i="8" s="1"/>
  <c r="AF489" i="9"/>
  <c r="AF498" i="9" s="1"/>
  <c r="G71" i="8"/>
  <c r="I71" i="8" s="1"/>
  <c r="G62" i="8"/>
  <c r="I62" i="8" s="1"/>
  <c r="AE483" i="9"/>
  <c r="C74" i="8"/>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F74" i="8" l="1"/>
  <c r="H74" i="8" s="1"/>
  <c r="C81" i="8"/>
  <c r="AF488" i="9"/>
  <c r="AN488" i="9" s="1"/>
  <c r="AO488" i="9" s="1"/>
  <c r="AF498" i="12"/>
  <c r="AF488" i="12"/>
  <c r="Y498" i="12"/>
  <c r="AH489" i="9"/>
  <c r="AI489" i="9" s="1"/>
  <c r="AH496" i="12"/>
  <c r="AI496" i="12" s="1"/>
  <c r="AH476" i="12"/>
  <c r="AI476" i="12" s="1"/>
  <c r="N158" i="12"/>
  <c r="AH472" i="12"/>
  <c r="AI472" i="12" s="1"/>
  <c r="N76" i="12"/>
  <c r="AH473" i="12"/>
  <c r="AI473" i="12" s="1"/>
  <c r="N77" i="12"/>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alcChain>
</file>

<file path=xl/comments1.xml><?xml version="1.0" encoding="utf-8"?>
<comments xmlns="http://schemas.openxmlformats.org/spreadsheetml/2006/main">
  <authors>
    <author>USER</author>
  </authors>
  <commentList>
    <comment ref="C12" authorId="0" shapeId="0">
      <text>
        <r>
          <rPr>
            <sz val="9"/>
            <color indexed="81"/>
            <rFont val="Tahoma"/>
            <family val="2"/>
          </rPr>
          <t>Balance avec $ profit du réalisé</t>
        </r>
      </text>
    </comment>
  </commentList>
</comments>
</file>

<file path=xl/comments2.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authors>
    <author/>
  </authors>
  <commentList>
    <comment ref="L2" authorId="0" shapeId="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comments5.xml><?xml version="1.0" encoding="utf-8"?>
<comments xmlns="http://schemas.openxmlformats.org/spreadsheetml/2006/main">
  <authors>
    <author/>
  </authors>
  <commentList>
    <comment ref="T1" authorId="0" shapeId="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<sst xmlns="http://schemas.openxmlformats.org/spreadsheetml/2006/main" count="18538" uniqueCount="3957">
  <si>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</si>
  <si>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</si>
  <si>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</si>
  <si>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</si>
  <si>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</si>
  <si>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</si>
  <si>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</si>
  <si>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</si>
  <si>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</si>
  <si>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</si>
  <si>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</si>
  <si>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</si>
  <si>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</si>
  <si>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</si>
  <si>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</si>
  <si>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</si>
  <si>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</si>
  <si>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</si>
  <si>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</si>
  <si>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</si>
  <si>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</si>
  <si>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</si>
  <si>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</si>
  <si>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</si>
  <si>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</si>
  <si>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</si>
  <si>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</si>
  <si>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</si>
  <si>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</si>
  <si>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</si>
  <si>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</si>
  <si>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</si>
  <si>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</si>
  <si>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</si>
  <si>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</si>
  <si>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</si>
  <si>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</si>
  <si>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</si>
  <si>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</si>
  <si>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</si>
  <si>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</si>
  <si>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</si>
  <si>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</si>
  <si>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</si>
  <si>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</si>
  <si>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</si>
  <si>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</si>
  <si>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</si>
  <si>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</si>
  <si>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</si>
  <si>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</si>
  <si>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</si>
  <si>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</si>
  <si>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</si>
  <si>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</si>
  <si>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</si>
  <si>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</si>
  <si>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</si>
  <si>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</si>
  <si>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</si>
  <si>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</si>
  <si>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</si>
  <si>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</si>
  <si>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</si>
  <si>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</si>
  <si>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</si>
  <si>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</si>
  <si>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</si>
  <si>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</si>
  <si>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</si>
  <si>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</si>
  <si>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</si>
  <si>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</si>
  <si>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</si>
  <si>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</si>
  <si>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</si>
  <si>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</si>
  <si>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</si>
  <si>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</si>
  <si>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</si>
  <si>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</si>
  <si>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</si>
  <si>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</si>
  <si>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</si>
  <si>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</si>
  <si>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</si>
  <si>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</si>
  <si>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</si>
  <si>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</si>
  <si>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</si>
  <si>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</si>
  <si>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</si>
  <si>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</si>
  <si>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</si>
  <si>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</si>
  <si>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</si>
  <si>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</si>
  <si>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</si>
  <si>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</si>
  <si>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</si>
  <si>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</si>
  <si>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</si>
  <si>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</si>
  <si>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</si>
  <si>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</si>
  <si>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</si>
  <si>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</si>
  <si>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</si>
  <si>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</si>
  <si>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</si>
  <si>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</si>
  <si>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</si>
  <si>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</si>
  <si>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</si>
  <si>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</si>
  <si>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</si>
  <si>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</si>
  <si>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</si>
  <si>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</si>
  <si>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</si>
  <si>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</si>
  <si>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</si>
  <si>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</si>
  <si>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</si>
  <si>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</si>
  <si>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</si>
  <si>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</si>
  <si>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</si>
  <si>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</si>
  <si>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</si>
  <si>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</si>
  <si>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</si>
  <si>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</si>
  <si>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</si>
  <si>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</si>
  <si>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</si>
  <si>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</si>
  <si>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</si>
  <si>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</si>
  <si>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</si>
  <si>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</si>
  <si>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</si>
  <si>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</si>
  <si>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</si>
  <si>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</si>
  <si>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</si>
  <si>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</si>
  <si>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</si>
  <si>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</si>
  <si>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</si>
  <si>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</si>
  <si>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</si>
  <si>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</si>
  <si>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</si>
  <si>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</si>
  <si>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</si>
  <si>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</si>
  <si>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</si>
  <si>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</si>
  <si>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</si>
  <si>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</si>
  <si>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</si>
  <si>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</si>
  <si>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</si>
  <si>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</si>
  <si>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</si>
  <si>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</si>
  <si>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</si>
  <si>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</si>
  <si>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</si>
  <si>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</si>
  <si>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</si>
  <si>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</si>
  <si>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</si>
  <si>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</si>
  <si>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</si>
  <si>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</si>
  <si>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</si>
  <si>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</si>
  <si>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</si>
  <si>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</si>
  <si>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</si>
  <si>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</si>
  <si>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</si>
  <si>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</si>
  <si>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</si>
  <si>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</si>
  <si>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</si>
  <si>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</si>
  <si>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</si>
  <si>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</si>
  <si>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</si>
  <si>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</si>
  <si>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</si>
  <si>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</si>
  <si>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</si>
  <si>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</si>
  <si>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</si>
  <si>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</si>
  <si>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</si>
  <si>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</si>
  <si>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</si>
  <si>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</si>
  <si>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</si>
  <si>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</si>
  <si>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</si>
  <si>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</si>
  <si>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</si>
  <si>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</si>
  <si>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</si>
  <si>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</si>
  <si>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</si>
  <si>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</si>
  <si>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</si>
  <si>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</si>
  <si>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</si>
  <si>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</si>
  <si>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</si>
  <si>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</si>
  <si>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</si>
  <si>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</si>
  <si>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</si>
  <si>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</si>
  <si>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</si>
  <si>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</si>
  <si>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</si>
  <si>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</si>
  <si>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</si>
  <si>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</si>
  <si>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</si>
  <si>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</si>
  <si>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</si>
  <si>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</si>
  <si>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</si>
  <si>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</si>
  <si>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</si>
  <si>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</si>
  <si>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</si>
  <si>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</si>
  <si>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</si>
  <si>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</si>
  <si>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</si>
  <si>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</si>
  <si>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</si>
  <si>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</si>
  <si>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</si>
  <si>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</si>
  <si>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</si>
  <si>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</si>
  <si>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</si>
  <si>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</si>
  <si>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</si>
  <si>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</si>
  <si>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</si>
  <si>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</si>
  <si>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</si>
  <si>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</si>
  <si>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</si>
  <si>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</si>
  <si>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</si>
  <si>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</si>
  <si>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</si>
  <si>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</si>
  <si>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</si>
  <si>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</si>
  <si>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</si>
  <si>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</si>
  <si>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</si>
  <si>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</si>
  <si>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</si>
  <si>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</si>
  <si>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</si>
  <si>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</si>
  <si>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</si>
  <si>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</si>
  <si>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</si>
  <si>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</si>
  <si>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</si>
  <si>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</si>
  <si>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</si>
  <si>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</si>
  <si>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</si>
  <si>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</si>
  <si>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</si>
  <si>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</si>
  <si>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</si>
  <si>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</si>
  <si>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</si>
  <si>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</si>
  <si>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</si>
  <si>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</si>
  <si>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</si>
  <si>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</si>
  <si>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</si>
  <si>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</si>
  <si>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</si>
  <si>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</si>
  <si>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</si>
  <si>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</si>
  <si>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</si>
  <si>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</si>
  <si>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</si>
  <si>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</si>
  <si>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</si>
  <si>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</si>
  <si>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</si>
  <si>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</si>
  <si>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</si>
  <si>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</si>
  <si>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</si>
  <si>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</si>
  <si>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</si>
  <si>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</si>
  <si>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</si>
  <si>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</si>
  <si>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</si>
  <si>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</si>
  <si>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</si>
  <si>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</si>
  <si>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</si>
  <si>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</si>
  <si>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</si>
  <si>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</si>
  <si>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</si>
  <si>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</si>
  <si>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</si>
  <si>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</si>
  <si>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</si>
  <si>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</si>
  <si>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</si>
  <si>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</si>
  <si>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</si>
  <si>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</si>
  <si>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</si>
  <si>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</si>
  <si>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</si>
  <si>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</si>
  <si>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</si>
  <si>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</si>
  <si>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</si>
  <si>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</si>
  <si>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</si>
  <si>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</si>
  <si>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</si>
  <si>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</si>
  <si>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</si>
  <si>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</si>
  <si>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</si>
  <si>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</si>
  <si>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</si>
  <si>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</si>
  <si>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</si>
  <si>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</si>
  <si>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</si>
  <si>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</si>
  <si>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</si>
  <si>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</si>
  <si>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</si>
  <si>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</si>
  <si>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</si>
  <si>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</si>
  <si>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</si>
  <si>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</si>
  <si>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</si>
  <si>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</si>
  <si>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</si>
  <si>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</si>
  <si>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</si>
  <si>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</si>
  <si>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</si>
  <si>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</si>
  <si>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</si>
  <si>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</si>
  <si>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</si>
  <si>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</si>
  <si>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</si>
  <si>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</si>
  <si>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</si>
  <si>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</si>
  <si>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</si>
  <si>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</si>
  <si>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</si>
  <si>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</si>
  <si>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</si>
  <si>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</si>
  <si>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</si>
  <si>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</si>
  <si>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</si>
  <si>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</si>
  <si>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</si>
  <si>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</si>
  <si>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</si>
  <si>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</si>
  <si>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</si>
  <si>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</si>
  <si>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</si>
  <si>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</si>
  <si>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</si>
  <si>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</si>
  <si>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</si>
  <si>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</si>
  <si>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</si>
  <si>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</si>
  <si>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</si>
  <si>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</si>
  <si>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</si>
  <si>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</si>
  <si>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</si>
  <si>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</si>
  <si>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</si>
  <si>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</si>
  <si>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</si>
  <si>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</si>
  <si>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</si>
  <si>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</si>
  <si>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</si>
  <si>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</si>
  <si>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</si>
  <si>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</si>
  <si>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</si>
  <si>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</si>
  <si>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</si>
  <si>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</si>
  <si>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</si>
  <si>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</si>
  <si>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</si>
  <si>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</si>
  <si>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</si>
  <si>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</si>
  <si>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</si>
  <si>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</si>
  <si>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</si>
  <si>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</si>
  <si>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</si>
  <si>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</si>
  <si>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</si>
  <si>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</si>
  <si>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</si>
  <si>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</si>
  <si>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</si>
  <si>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</si>
  <si>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</si>
  <si>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</si>
  <si>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</si>
  <si>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</si>
  <si>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</si>
  <si>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</si>
  <si>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</si>
  <si>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</si>
  <si>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</si>
  <si>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</si>
  <si>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</si>
  <si>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</si>
  <si>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</si>
  <si>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</si>
  <si>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</si>
  <si>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</si>
  <si>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</si>
  <si>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</si>
  <si>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</si>
  <si>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</si>
  <si>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</si>
  <si>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</si>
  <si>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</si>
  <si>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</si>
  <si>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</si>
  <si>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</si>
  <si>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</si>
  <si>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</si>
  <si>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</si>
  <si>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</si>
  <si>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</si>
  <si>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</si>
  <si>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</si>
  <si>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</si>
  <si>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</si>
  <si>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</si>
  <si>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</si>
  <si>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</si>
  <si>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</si>
  <si>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</si>
  <si>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</si>
  <si>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</si>
  <si>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</si>
  <si>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</si>
  <si>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</si>
  <si>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</si>
  <si>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</si>
  <si>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</si>
  <si>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</si>
  <si>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</si>
  <si>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</si>
  <si>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</si>
  <si>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</si>
  <si>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</si>
  <si>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</si>
  <si>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</si>
  <si>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</si>
  <si>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</si>
  <si>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</si>
  <si>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</si>
  <si>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</si>
  <si>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</si>
  <si>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</si>
  <si>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</si>
  <si>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</si>
  <si>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</si>
  <si>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</si>
  <si>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</si>
  <si>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</si>
  <si>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</si>
  <si>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</si>
  <si>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</si>
  <si>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</si>
  <si>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</si>
  <si>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</si>
  <si>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</si>
  <si>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</si>
  <si>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</si>
  <si>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</si>
  <si>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</si>
  <si>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</si>
  <si>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</si>
  <si>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</si>
  <si>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</si>
  <si>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</si>
  <si>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</si>
  <si>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</si>
  <si>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</si>
  <si>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</si>
  <si>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</si>
  <si>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</si>
  <si>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</si>
  <si>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</si>
  <si>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</si>
  <si>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</si>
  <si>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</si>
  <si>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</si>
  <si>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</si>
  <si>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</si>
  <si>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</si>
  <si>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</si>
  <si>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</si>
  <si>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</si>
  <si>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</si>
  <si>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</si>
  <si>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</si>
  <si>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</si>
  <si>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</si>
  <si>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</si>
  <si>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</si>
  <si>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</si>
  <si>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</si>
  <si>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</si>
  <si>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</si>
  <si>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</si>
  <si>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</si>
  <si>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</si>
  <si>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</si>
  <si>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</si>
  <si>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</si>
  <si>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</si>
  <si>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</si>
  <si>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</si>
  <si>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</si>
  <si>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</si>
  <si>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</si>
  <si>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</si>
  <si>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</si>
  <si>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</si>
  <si>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</si>
  <si>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</si>
  <si>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</si>
  <si>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</si>
  <si>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</si>
  <si>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</si>
  <si>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</si>
  <si>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</si>
  <si>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</si>
  <si>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</si>
  <si>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</si>
  <si>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</si>
  <si>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</si>
  <si>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</si>
  <si>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</si>
  <si>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</si>
  <si>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</si>
  <si>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</si>
  <si>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</si>
  <si>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</si>
  <si>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</si>
  <si>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</si>
  <si>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</si>
  <si>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</si>
  <si>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</si>
  <si>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</si>
  <si>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</si>
  <si>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</si>
  <si>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</si>
  <si>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</si>
  <si>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</si>
  <si>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</si>
  <si>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</si>
  <si>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</si>
  <si>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</si>
  <si>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</si>
  <si>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</si>
  <si>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</si>
  <si>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</si>
  <si>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</si>
  <si>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</si>
  <si>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</si>
  <si>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</si>
  <si>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</si>
  <si>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</si>
  <si>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</si>
  <si>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</si>
  <si>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</si>
  <si>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</si>
  <si>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</si>
  <si>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</si>
  <si>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</si>
  <si>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</si>
  <si>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</si>
  <si>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</si>
  <si>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</si>
  <si>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</si>
  <si>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</si>
  <si>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</si>
  <si>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</si>
  <si>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</si>
  <si>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</si>
  <si>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</si>
  <si>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</si>
  <si>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</si>
  <si>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</si>
  <si>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</si>
  <si>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</si>
  <si>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</si>
  <si>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</si>
  <si>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</si>
  <si>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</si>
  <si>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</si>
  <si>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</si>
  <si>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</si>
  <si>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</si>
  <si>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</si>
  <si>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</si>
  <si>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</si>
  <si>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</si>
  <si>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</si>
  <si>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</si>
  <si>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</si>
  <si>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</si>
  <si>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</si>
  <si>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</si>
  <si>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</si>
  <si>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</si>
  <si>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</si>
  <si>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</si>
  <si>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</si>
  <si>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</si>
  <si>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</si>
  <si>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</si>
  <si>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</si>
  <si>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</si>
  <si>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</si>
  <si>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</si>
  <si>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</si>
  <si>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</si>
  <si>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</si>
  <si>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</si>
  <si>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</si>
  <si>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</si>
  <si>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</si>
  <si>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</si>
  <si>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</si>
  <si>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</si>
  <si>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</si>
  <si>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</si>
  <si>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</si>
  <si>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</si>
  <si>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</si>
  <si>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</si>
  <si>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</si>
  <si>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</si>
  <si>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</si>
  <si>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</si>
  <si>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</si>
  <si>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</si>
  <si>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</si>
  <si>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</si>
  <si>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</si>
  <si>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</si>
  <si>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</si>
  <si>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</si>
  <si>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</si>
  <si>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</si>
  <si>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</si>
  <si>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</si>
  <si>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</si>
  <si>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</si>
  <si>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</si>
  <si>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</si>
  <si>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</si>
  <si>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</si>
  <si>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</si>
  <si>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</si>
  <si>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</si>
  <si>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</si>
  <si>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</si>
  <si>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</si>
  <si>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</si>
  <si>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</si>
  <si>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</si>
  <si>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</si>
  <si>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</si>
  <si>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</si>
  <si>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</si>
  <si>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</si>
  <si>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</si>
  <si>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</si>
  <si>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</si>
  <si>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</si>
  <si>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</si>
  <si>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</si>
  <si>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</si>
  <si>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</si>
  <si>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</si>
  <si>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</si>
  <si>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</si>
  <si>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</si>
  <si>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</si>
  <si>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</si>
  <si>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</si>
  <si>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</si>
  <si>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</si>
  <si>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</si>
  <si>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</si>
  <si>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</si>
  <si>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</si>
  <si>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</si>
  <si>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</si>
  <si>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</si>
  <si>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</si>
  <si>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</si>
  <si>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</si>
  <si>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</si>
  <si>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</si>
  <si>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</si>
  <si>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</si>
  <si>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</si>
  <si>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</si>
  <si>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</si>
  <si>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</si>
  <si>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</si>
  <si>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</si>
  <si>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</si>
  <si>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</si>
  <si>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</si>
  <si>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</si>
  <si>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</si>
  <si>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</si>
  <si>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</si>
  <si>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</si>
  <si>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</si>
  <si>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</si>
  <si>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</si>
  <si>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</si>
  <si>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</si>
  <si>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</si>
  <si>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</si>
  <si>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</si>
  <si>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</si>
  <si>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</si>
  <si>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</si>
  <si>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</si>
  <si>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</si>
  <si>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</si>
  <si>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</si>
  <si>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</si>
  <si>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</si>
  <si>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</si>
  <si>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</si>
  <si>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</si>
  <si>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</si>
  <si>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</si>
  <si>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</si>
  <si>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</si>
  <si>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</si>
  <si>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</si>
  <si>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</si>
  <si>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</si>
  <si>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</si>
  <si>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</si>
  <si>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</si>
  <si>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</si>
  <si>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</si>
  <si>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</si>
  <si>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</si>
  <si>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</si>
  <si>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</si>
  <si>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</si>
  <si>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</si>
  <si>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</si>
  <si>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</si>
  <si>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</si>
  <si>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</si>
  <si>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</si>
  <si>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</si>
  <si>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</si>
  <si>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</si>
  <si>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</si>
  <si>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</si>
  <si>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</si>
  <si>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</si>
  <si>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</si>
  <si>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</si>
  <si>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</si>
  <si>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</si>
  <si>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</si>
  <si>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</si>
  <si>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</si>
  <si>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</si>
  <si>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</si>
  <si>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</si>
  <si>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</si>
  <si>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</si>
  <si>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</si>
  <si>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</si>
  <si>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</si>
  <si>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</si>
  <si>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</si>
  <si>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</si>
  <si>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</si>
  <si>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</si>
  <si>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</si>
  <si>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</si>
  <si>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</si>
  <si>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</si>
  <si>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</si>
  <si>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</si>
  <si>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</si>
  <si>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</si>
  <si>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</si>
  <si>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</si>
  <si>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</si>
  <si>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</si>
  <si>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</si>
  <si>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</si>
  <si>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</si>
  <si>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</si>
  <si>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</si>
  <si>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</si>
  <si>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</si>
  <si>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</si>
  <si>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</si>
  <si>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</si>
  <si>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</si>
  <si>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</si>
  <si>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</si>
  <si>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</si>
  <si>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</si>
  <si>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</si>
  <si>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</si>
  <si>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</si>
  <si>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</si>
  <si>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</si>
  <si>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</si>
  <si>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</si>
  <si>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</si>
  <si>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</si>
  <si>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</si>
  <si>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</si>
  <si>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</si>
  <si>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</si>
  <si>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</si>
  <si>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</si>
  <si>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</si>
  <si>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</si>
  <si>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</si>
  <si>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</si>
  <si>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</si>
  <si>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</si>
  <si>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</si>
  <si>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</si>
  <si>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</si>
  <si>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</si>
  <si>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</si>
  <si>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</si>
  <si>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</si>
  <si>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</si>
  <si>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</si>
  <si>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</si>
  <si>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</si>
  <si>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</si>
  <si>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</si>
  <si>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</si>
  <si>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</si>
  <si>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</si>
  <si>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</si>
  <si>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</si>
  <si>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</si>
  <si>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</si>
  <si>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</si>
  <si>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</si>
  <si>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</si>
  <si>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</si>
  <si>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</si>
  <si>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</si>
  <si>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</si>
  <si>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</si>
  <si>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</si>
  <si>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</si>
  <si>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</si>
  <si>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</si>
  <si>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</si>
  <si>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</si>
  <si>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</si>
  <si>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</si>
  <si>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</si>
  <si>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</si>
  <si>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</si>
  <si>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</si>
  <si>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</si>
  <si>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</si>
  <si>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</si>
  <si>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</si>
  <si>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</si>
  <si>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</si>
  <si>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</si>
  <si>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</si>
  <si>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</si>
  <si>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</si>
  <si>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</si>
  <si>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</si>
  <si>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</si>
  <si>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</si>
  <si>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</si>
  <si>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</si>
  <si>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</si>
  <si>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</si>
  <si>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</si>
  <si>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</si>
  <si>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</si>
  <si>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</si>
  <si>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</si>
  <si>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</si>
  <si>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</si>
  <si>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</si>
  <si>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</si>
  <si>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</si>
  <si>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</si>
  <si>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</si>
  <si>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</si>
  <si>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</si>
  <si>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</si>
  <si>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</si>
  <si>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</si>
  <si>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</si>
  <si>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</si>
  <si>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</si>
  <si>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</si>
  <si>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</si>
  <si>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</si>
  <si>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</si>
  <si>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</si>
  <si>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</si>
  <si>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</si>
  <si>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</si>
  <si>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</si>
  <si>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</si>
  <si>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</si>
  <si>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</si>
  <si>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</si>
  <si>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</si>
  <si>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</si>
  <si>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</si>
  <si>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</si>
  <si>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</si>
  <si>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</si>
  <si>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</si>
  <si>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</si>
  <si>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</si>
  <si>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</si>
  <si>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</si>
  <si>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</si>
  <si>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</si>
  <si>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</si>
  <si>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</si>
  <si>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</si>
  <si>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</si>
  <si>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</si>
  <si>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</si>
  <si>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</si>
  <si>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</si>
  <si>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</si>
  <si>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</si>
  <si>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</si>
  <si>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</si>
  <si>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</si>
  <si>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</si>
  <si>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</si>
  <si>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</si>
  <si>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</si>
  <si>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</si>
  <si>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</si>
  <si>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</si>
  <si>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</si>
  <si>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</si>
  <si>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</si>
  <si>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</si>
  <si>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</si>
  <si>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</si>
  <si>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</si>
  <si>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</si>
  <si>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</si>
  <si>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</si>
  <si>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</si>
  <si>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</si>
  <si>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</si>
  <si>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</si>
  <si>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</si>
  <si>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</si>
  <si>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</si>
  <si>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</si>
  <si>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</si>
  <si>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</si>
  <si>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</si>
  <si>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</si>
  <si>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</si>
  <si>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</si>
  <si>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</si>
  <si>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</si>
  <si>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</si>
  <si>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</si>
  <si>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</si>
  <si>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</si>
  <si>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</si>
  <si>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</si>
  <si>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</si>
  <si>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</si>
  <si>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</si>
  <si>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</si>
  <si>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</si>
  <si>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</si>
  <si>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</si>
  <si>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</si>
  <si>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</si>
  <si>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</si>
  <si>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</si>
  <si>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</si>
  <si>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</si>
  <si>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</si>
  <si>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</si>
  <si>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</si>
  <si>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</si>
  <si>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</si>
  <si>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</si>
  <si>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</si>
  <si>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</si>
  <si>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</si>
  <si>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</si>
  <si>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</si>
  <si>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</si>
  <si>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</si>
  <si>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</si>
  <si>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</si>
  <si>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</si>
  <si>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</si>
  <si>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</si>
  <si>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</si>
  <si>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</si>
  <si>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</si>
  <si>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</si>
  <si>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</si>
  <si>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</si>
  <si>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</si>
  <si>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</si>
  <si>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</si>
  <si>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</si>
  <si>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</si>
  <si>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</si>
  <si>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</si>
  <si>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</si>
  <si>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</si>
  <si>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</si>
  <si>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</si>
  <si>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</si>
  <si>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</si>
  <si>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</si>
  <si>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</si>
  <si>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</si>
  <si>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</si>
  <si>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</si>
  <si>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</si>
  <si>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</si>
  <si>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</si>
  <si>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</si>
  <si>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</si>
  <si>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</si>
  <si>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</si>
  <si>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</si>
  <si>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</si>
  <si>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</si>
  <si>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</si>
  <si>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</si>
  <si>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</si>
  <si>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</si>
  <si>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</si>
  <si>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</si>
  <si>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</si>
  <si>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</si>
  <si>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</si>
  <si>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</si>
  <si>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</si>
  <si>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</si>
  <si>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</si>
  <si>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</si>
  <si>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</si>
  <si>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</si>
  <si>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</si>
  <si>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</si>
  <si>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</si>
  <si>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</si>
  <si>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</si>
  <si>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</si>
  <si>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</si>
  <si>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</si>
  <si>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</si>
  <si>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</si>
  <si>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</si>
  <si>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</si>
  <si>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</si>
  <si>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</si>
  <si>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</si>
  <si>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</si>
  <si>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</si>
  <si>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</si>
  <si>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</si>
  <si>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</si>
  <si>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</si>
  <si>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</si>
  <si>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</si>
  <si>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</si>
  <si>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</si>
  <si>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</si>
  <si>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</si>
  <si>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</si>
  <si>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</si>
  <si>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</si>
  <si>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</si>
  <si>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</si>
  <si>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</si>
  <si>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</si>
  <si>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</si>
  <si>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</si>
  <si>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</si>
  <si>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</si>
  <si>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</si>
  <si>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</si>
  <si>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</si>
  <si>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</si>
  <si>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</si>
  <si>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</si>
  <si>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</si>
  <si>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</si>
  <si>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</si>
  <si>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</si>
  <si>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</si>
  <si>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</si>
  <si>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</si>
  <si>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</si>
  <si>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</si>
  <si>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</si>
  <si>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</si>
  <si>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</si>
  <si>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</si>
  <si>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</si>
  <si>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</si>
  <si>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</si>
  <si>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</si>
  <si>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</si>
  <si>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</si>
  <si>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</si>
  <si>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</si>
  <si>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</si>
  <si>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</si>
  <si>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</si>
  <si>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</si>
  <si>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</si>
  <si>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</si>
  <si>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</si>
  <si>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</si>
  <si>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</si>
  <si>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</si>
  <si>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</si>
  <si>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</si>
  <si>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</si>
  <si>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</si>
  <si>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</si>
  <si>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</si>
  <si>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</si>
  <si>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</si>
  <si>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</si>
  <si>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</si>
  <si>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</si>
  <si>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</si>
  <si>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</si>
  <si>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</si>
  <si>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</si>
  <si>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</si>
  <si>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</si>
  <si>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</si>
  <si>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</si>
  <si>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</si>
  <si>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</si>
  <si>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</si>
  <si>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</si>
  <si>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</si>
  <si>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</si>
  <si>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</si>
  <si>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</si>
  <si>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</si>
  <si>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</si>
  <si>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</si>
  <si>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</si>
  <si>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</si>
  <si>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</si>
  <si>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</si>
  <si>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</si>
  <si>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</si>
  <si>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</si>
  <si>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</si>
  <si>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</si>
  <si>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</si>
  <si>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</si>
  <si>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</si>
  <si>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</si>
  <si>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</si>
  <si>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</si>
  <si>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</si>
  <si>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</si>
  <si>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</si>
  <si>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</si>
  <si>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</si>
  <si>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</si>
  <si>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</si>
  <si>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</si>
  <si>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</si>
  <si>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</si>
  <si>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</si>
  <si>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</si>
  <si>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</si>
  <si>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</si>
  <si>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</si>
  <si>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</si>
  <si>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</si>
  <si>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</si>
  <si>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</si>
  <si>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</si>
  <si>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</si>
  <si>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</si>
  <si>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</si>
  <si>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</si>
  <si>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</si>
  <si>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</si>
  <si>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</si>
  <si>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</si>
  <si>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</si>
  <si>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</si>
  <si>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</si>
  <si>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</si>
  <si>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</si>
  <si>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</si>
  <si>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</si>
  <si>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</si>
  <si>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</si>
  <si>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</si>
  <si>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</si>
  <si>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</si>
  <si>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</si>
  <si>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</si>
  <si>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</si>
  <si>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</si>
  <si>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</si>
  <si>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</si>
  <si>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</si>
  <si>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</si>
  <si>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</si>
  <si>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</si>
  <si>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</si>
  <si>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</si>
  <si>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</si>
  <si>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</si>
  <si>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</si>
  <si>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</si>
  <si>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</si>
  <si>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</si>
  <si>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</si>
  <si>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</si>
  <si>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</si>
  <si>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</si>
  <si>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</si>
  <si>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</si>
  <si>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</si>
  <si>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</si>
  <si>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</si>
  <si>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</si>
  <si>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</si>
  <si>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</si>
  <si>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</si>
  <si>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</si>
  <si>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</si>
  <si>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</si>
  <si>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</si>
  <si>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</si>
  <si>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</si>
  <si>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</si>
  <si>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</si>
  <si>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</si>
  <si>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</si>
  <si>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</si>
  <si>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</si>
  <si>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</si>
  <si>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</si>
  <si>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</si>
  <si>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</si>
  <si>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</si>
  <si>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</si>
  <si>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</si>
  <si>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</si>
  <si>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</si>
  <si>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</si>
  <si>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</si>
  <si>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</si>
  <si>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</si>
  <si>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</si>
  <si>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</si>
  <si>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</si>
  <si>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</si>
  <si>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</si>
  <si>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</si>
  <si>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</si>
  <si>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</si>
  <si>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</si>
  <si>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</si>
  <si>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</si>
  <si>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</si>
  <si>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</si>
  <si>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</si>
  <si>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</si>
  <si>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</si>
  <si>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</si>
  <si>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</si>
  <si>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</si>
  <si>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</si>
  <si>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</si>
  <si>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</si>
  <si>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</si>
  <si>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</si>
  <si>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</si>
  <si>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</si>
  <si>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</si>
  <si>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</si>
  <si>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</si>
  <si>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</si>
  <si>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</si>
  <si>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</si>
  <si>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</si>
  <si>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</si>
  <si>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</si>
  <si>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</si>
  <si>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</si>
  <si>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</si>
  <si>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</si>
  <si>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</si>
  <si>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</si>
  <si>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</si>
  <si>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</si>
  <si>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</si>
  <si>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</si>
  <si>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</si>
  <si>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</si>
  <si>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</si>
  <si>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</si>
  <si>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</si>
  <si>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</si>
  <si>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</si>
  <si>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</si>
  <si>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</si>
  <si>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</si>
  <si>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</si>
  <si>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</si>
  <si>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</si>
  <si>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</si>
  <si>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</si>
  <si>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</si>
  <si>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</si>
  <si>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</si>
  <si>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</si>
  <si>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</si>
  <si>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</si>
  <si>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</si>
  <si>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</si>
  <si>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</si>
  <si>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</si>
  <si>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</si>
  <si>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</si>
  <si>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</si>
  <si>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</si>
  <si>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</si>
  <si>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</si>
  <si>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</si>
  <si>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</si>
  <si>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</si>
  <si>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</si>
  <si>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</si>
  <si>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</si>
  <si>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</si>
  <si>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</si>
  <si>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</si>
  <si>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</si>
  <si>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</si>
  <si>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</si>
  <si>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</si>
  <si>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</si>
  <si>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</si>
  <si>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</si>
  <si>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</si>
  <si>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</si>
  <si>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</si>
  <si>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</si>
  <si>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</si>
  <si>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</si>
  <si>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</si>
  <si>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</si>
  <si>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</si>
  <si>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</si>
  <si>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</si>
  <si>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</si>
  <si>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</si>
  <si>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</si>
  <si>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</si>
  <si>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</si>
  <si>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</si>
  <si>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</si>
  <si>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</si>
  <si>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</si>
  <si>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</si>
  <si>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</si>
  <si>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</si>
  <si>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</si>
  <si>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</si>
  <si>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</si>
  <si>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</si>
  <si>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</si>
  <si>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</si>
  <si>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</si>
  <si>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</si>
  <si>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</si>
  <si>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</si>
  <si>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</si>
  <si>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</si>
  <si>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</si>
  <si>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</si>
  <si>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</si>
  <si>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</si>
  <si>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</si>
  <si>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</si>
  <si>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</si>
  <si>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</si>
  <si>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</si>
  <si>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</si>
  <si>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</si>
  <si>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</si>
  <si>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</si>
  <si>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</si>
  <si>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</si>
  <si>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</si>
  <si>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</si>
  <si>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</si>
  <si>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</si>
  <si>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</si>
  <si>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</si>
  <si>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</si>
  <si>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</si>
  <si>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</si>
  <si>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</si>
  <si>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</si>
  <si>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</si>
  <si>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</si>
  <si>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</si>
  <si>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</si>
  <si>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</si>
  <si>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</si>
  <si>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</si>
  <si>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</si>
  <si>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</si>
  <si>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</si>
  <si>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</si>
  <si>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</si>
  <si>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</si>
  <si>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</si>
  <si>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</si>
  <si>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</si>
  <si>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</si>
  <si>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</si>
  <si>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</si>
  <si>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</si>
  <si>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</si>
  <si>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</si>
  <si>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</si>
  <si>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</si>
  <si>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</si>
  <si>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</si>
  <si>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</si>
  <si>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</si>
  <si>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</si>
  <si>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</si>
  <si>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</si>
  <si>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</si>
  <si>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</si>
  <si>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</si>
  <si>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</si>
  <si>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</si>
  <si>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</si>
  <si>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</si>
  <si>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</si>
  <si>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</si>
  <si>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</si>
  <si>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</si>
  <si>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</si>
  <si>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</si>
  <si>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</si>
  <si>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</si>
  <si>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</si>
  <si>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</si>
  <si>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</si>
  <si>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</si>
  <si>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</si>
  <si>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</si>
  <si>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</si>
  <si>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</si>
  <si>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</si>
  <si>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</si>
  <si>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</si>
  <si>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</si>
  <si>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</si>
  <si>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</si>
  <si>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</si>
  <si>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</si>
  <si>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</si>
  <si>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</si>
  <si>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</si>
  <si>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</si>
  <si>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</si>
  <si>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</si>
  <si>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</si>
  <si>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</si>
  <si>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</si>
  <si>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</si>
  <si>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</si>
  <si>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</si>
  <si>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</si>
  <si>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</si>
  <si>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</si>
  <si>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</si>
  <si>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</si>
  <si>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</si>
  <si>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</si>
  <si>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</si>
  <si>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</si>
  <si>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</si>
  <si>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</si>
  <si>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</si>
  <si>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</si>
  <si>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</si>
  <si>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</si>
  <si>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</si>
  <si>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</si>
  <si>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</si>
  <si>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</si>
  <si>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</si>
  <si>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</si>
  <si>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</si>
  <si>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</si>
  <si>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</si>
  <si>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</si>
  <si>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</si>
  <si>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</si>
  <si>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</si>
  <si>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</si>
  <si>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</si>
  <si>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</si>
  <si>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</si>
  <si>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</si>
  <si>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</si>
  <si>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</si>
  <si>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</si>
  <si>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</si>
  <si>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</si>
  <si>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</si>
  <si>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</si>
  <si>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</si>
  <si>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</si>
  <si>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</si>
  <si>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</si>
  <si>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</si>
  <si>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</si>
  <si>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</si>
  <si>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</si>
  <si>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</si>
  <si>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</si>
  <si>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</si>
  <si>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</si>
  <si>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</si>
  <si>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</si>
  <si>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</si>
  <si>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</si>
  <si>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</si>
  <si>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</si>
  <si>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</si>
  <si>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</si>
  <si>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</si>
  <si>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</si>
  <si>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</si>
  <si>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</si>
  <si>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</si>
  <si>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</si>
  <si>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</si>
  <si>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</si>
  <si>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</si>
  <si>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</si>
  <si>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</si>
  <si>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</si>
  <si>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</si>
  <si>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</si>
  <si>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</si>
  <si>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</si>
  <si>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</si>
  <si>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</si>
  <si>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</si>
  <si>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</si>
  <si>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</si>
  <si>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</si>
  <si>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</si>
  <si>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</si>
  <si>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</si>
  <si>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</si>
  <si>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</si>
  <si>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</si>
  <si>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</si>
  <si>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</si>
  <si>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</si>
  <si>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</si>
  <si>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</si>
  <si>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</si>
  <si>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</si>
  <si>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</si>
  <si>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</si>
  <si>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</si>
  <si>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</si>
  <si>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</si>
  <si>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</si>
  <si>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</si>
  <si>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</si>
  <si>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</si>
  <si>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</si>
  <si>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</si>
  <si>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</si>
  <si>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</si>
  <si>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</si>
  <si>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</si>
  <si>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</si>
  <si>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</si>
  <si>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</si>
  <si>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</si>
  <si>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</si>
  <si>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</si>
  <si>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</si>
  <si>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</si>
  <si>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</si>
  <si>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</si>
  <si>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</si>
  <si>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</si>
  <si>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</si>
  <si>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</si>
  <si>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</si>
  <si>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</si>
  <si>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</si>
  <si>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</si>
  <si>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</si>
  <si>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</si>
  <si>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</si>
  <si>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</si>
  <si>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</si>
  <si>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</si>
  <si>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</si>
  <si>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</si>
  <si>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</si>
  <si>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</si>
  <si>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</si>
  <si>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</si>
  <si>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</si>
  <si>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</si>
  <si>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</si>
  <si>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</si>
  <si>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</si>
  <si>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</si>
  <si>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</si>
  <si>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</si>
  <si>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</si>
  <si>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</si>
  <si>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</si>
  <si>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</si>
  <si>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</si>
  <si>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</si>
  <si>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</si>
  <si>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</si>
  <si>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</si>
  <si>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</si>
  <si>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</si>
  <si>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</si>
  <si>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</si>
  <si>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</si>
  <si>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</si>
  <si>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</si>
  <si>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</si>
  <si>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</si>
  <si>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</si>
  <si>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</si>
  <si>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</si>
  <si>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</si>
  <si>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</si>
  <si>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</si>
  <si>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</si>
  <si>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</si>
  <si>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</si>
  <si>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</si>
  <si>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</si>
  <si>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</si>
  <si>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</si>
  <si>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</si>
  <si>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</si>
  <si>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</si>
  <si>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</si>
  <si>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</si>
  <si>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</si>
  <si>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</si>
  <si>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</si>
  <si>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</si>
  <si>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</si>
  <si>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</si>
  <si>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</si>
  <si>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</si>
  <si>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</si>
  <si>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</si>
  <si>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</si>
  <si>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</si>
  <si>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</si>
  <si>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</si>
  <si>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</si>
  <si>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</si>
  <si>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</si>
  <si>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</si>
  <si>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</si>
  <si>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</si>
  <si>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</si>
  <si>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</si>
  <si>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</si>
  <si>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</si>
  <si>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</si>
  <si>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</si>
  <si>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</si>
  <si>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</si>
  <si>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</si>
  <si>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</si>
  <si>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</si>
  <si>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</si>
  <si>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</si>
  <si>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</si>
  <si>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</si>
  <si>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</si>
  <si>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</si>
  <si>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</si>
  <si>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</si>
  <si>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</si>
  <si>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</si>
  <si>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</si>
  <si>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</si>
  <si>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</si>
  <si>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</si>
  <si>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</si>
  <si>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</si>
  <si>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</si>
  <si>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</si>
  <si>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</si>
  <si>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</si>
  <si>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</si>
  <si>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</si>
  <si>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</si>
  <si>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</si>
  <si>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</si>
  <si>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</si>
  <si>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</si>
  <si>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</si>
  <si>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</si>
  <si>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</si>
  <si>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</si>
  <si>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</si>
  <si>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</si>
  <si>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</si>
  <si>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</si>
  <si>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</si>
  <si>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</si>
  <si>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</si>
  <si>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</si>
  <si>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</si>
  <si>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</si>
  <si>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</si>
  <si>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</si>
  <si>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</si>
  <si>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</si>
  <si>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</si>
  <si>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</si>
  <si>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</si>
  <si>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</si>
  <si>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</si>
  <si>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</si>
  <si>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</si>
  <si>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</si>
  <si>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</si>
  <si>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</si>
  <si>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</si>
  <si>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</si>
  <si>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</si>
  <si>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</si>
  <si>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</si>
  <si>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</si>
  <si>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</si>
  <si>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</si>
  <si>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</si>
  <si>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</si>
  <si>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</si>
  <si>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</si>
  <si>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</si>
  <si>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</si>
  <si>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</si>
  <si>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</si>
  <si>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</si>
  <si>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</si>
  <si>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</si>
  <si>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</si>
  <si>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</si>
  <si>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</si>
  <si>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</si>
  <si>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</si>
  <si>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</si>
  <si>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</si>
  <si>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</si>
  <si>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</si>
  <si>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</si>
  <si>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</si>
  <si>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</si>
  <si>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</si>
  <si>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</si>
  <si>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</si>
  <si>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</si>
  <si>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</si>
  <si>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</si>
  <si>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</si>
  <si>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</si>
  <si>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</si>
  <si>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</si>
  <si>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</si>
  <si>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</si>
  <si>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</si>
  <si>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</si>
  <si>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</si>
  <si>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</si>
  <si>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</si>
  <si>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</si>
  <si>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</si>
  <si>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</si>
  <si>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</si>
  <si>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</si>
  <si>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</si>
  <si>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</si>
  <si>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</si>
  <si>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</si>
  <si>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</si>
  <si>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</si>
  <si>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</si>
  <si>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</si>
  <si>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</si>
  <si>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</si>
  <si>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</si>
  <si>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</si>
  <si>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</si>
  <si>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</si>
  <si>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</si>
  <si>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</si>
  <si>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</si>
  <si>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</si>
  <si>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</si>
  <si>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</si>
  <si>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</si>
  <si>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</si>
  <si>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</si>
  <si>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</si>
  <si>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</si>
  <si>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</si>
  <si>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</si>
  <si>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</si>
  <si>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</si>
  <si>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</si>
  <si>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</si>
  <si>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</si>
  <si>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</si>
  <si>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</si>
  <si>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</si>
  <si>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</si>
  <si>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</si>
  <si>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</si>
  <si>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</si>
  <si>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</si>
  <si>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</si>
  <si>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</si>
  <si>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</si>
  <si>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</si>
  <si>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</si>
  <si>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</si>
  <si>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</si>
  <si>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</si>
  <si>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</si>
  <si>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</si>
  <si>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</si>
  <si>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</si>
  <si>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</si>
  <si>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</si>
  <si>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</si>
  <si>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</si>
  <si>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</si>
  <si>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</si>
  <si>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</si>
  <si>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</si>
  <si>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</si>
  <si>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</si>
  <si>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</si>
  <si>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</si>
  <si>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</si>
  <si>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</si>
  <si>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</si>
  <si>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</si>
  <si>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</si>
  <si>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</si>
  <si>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</si>
  <si>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</si>
  <si>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</si>
  <si>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</si>
  <si>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</si>
  <si>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</si>
  <si>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</si>
  <si>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</si>
  <si>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</si>
  <si>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</si>
  <si>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</si>
  <si>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</si>
  <si>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</si>
  <si>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</si>
  <si>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</si>
  <si>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</si>
  <si>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</si>
  <si>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</si>
  <si>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</si>
  <si>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</si>
  <si>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</si>
  <si>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</si>
  <si>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</si>
  <si>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</si>
  <si>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</si>
  <si>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</si>
  <si>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</si>
  <si>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</si>
  <si>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</si>
  <si>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</si>
  <si>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</si>
  <si>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</si>
  <si>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</si>
  <si>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</si>
  <si>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</si>
  <si>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</si>
  <si>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</si>
  <si>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</si>
  <si>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</si>
  <si>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</si>
  <si>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</si>
  <si>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</si>
  <si>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</si>
  <si>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</si>
  <si>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</si>
  <si>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</si>
  <si>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</si>
  <si>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</si>
  <si>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</si>
  <si>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</si>
  <si>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</si>
  <si>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</si>
  <si>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</si>
  <si>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</si>
  <si>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</si>
  <si>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</si>
  <si>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</si>
  <si>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</si>
  <si>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</si>
  <si>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</si>
  <si>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</si>
  <si>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</si>
  <si>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</si>
  <si>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</si>
  <si>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</si>
  <si>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</si>
  <si>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</si>
  <si>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</si>
  <si>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</si>
  <si>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</si>
  <si>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</si>
  <si>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</si>
  <si>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</si>
  <si>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</si>
  <si>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</si>
  <si>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</si>
  <si>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</si>
  <si>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</si>
  <si>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</si>
  <si>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</si>
  <si>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</si>
  <si>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</si>
  <si>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</si>
  <si>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</si>
  <si>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</si>
  <si>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</si>
  <si>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</si>
  <si>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</si>
  <si>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</si>
  <si>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</si>
  <si>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</si>
  <si>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</si>
  <si>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</si>
  <si>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</si>
  <si>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</si>
  <si>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</si>
  <si>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</si>
  <si>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</si>
  <si>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</si>
  <si>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</si>
  <si>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</si>
  <si>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</si>
  <si>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</si>
  <si>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</si>
  <si>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</si>
  <si>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</si>
  <si>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</si>
  <si>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</si>
  <si>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</si>
  <si>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</si>
  <si>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</si>
  <si>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</si>
  <si>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</si>
  <si>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</si>
  <si>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</si>
  <si>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</si>
  <si>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</si>
  <si>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</si>
  <si>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</si>
  <si>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</si>
  <si>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</si>
  <si>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</si>
  <si>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</si>
  <si>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</si>
  <si>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</si>
  <si>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</si>
  <si>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</si>
  <si>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</si>
  <si>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</si>
  <si>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</si>
  <si>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</si>
  <si>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</si>
  <si>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</si>
  <si>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</si>
  <si>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</si>
  <si>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</si>
  <si>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</si>
  <si>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</si>
  <si>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</si>
  <si>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</si>
  <si>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</si>
  <si>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</si>
  <si>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</si>
  <si>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</si>
  <si>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</si>
  <si>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</si>
  <si>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</si>
  <si>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</si>
  <si>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</si>
  <si>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</si>
  <si>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</si>
  <si>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</si>
  <si>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</si>
  <si>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</si>
  <si>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</si>
  <si>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</si>
  <si>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</si>
  <si>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</si>
  <si>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</si>
  <si>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</si>
  <si>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</si>
  <si>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</si>
  <si>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</si>
  <si>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</si>
  <si>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</si>
  <si>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</si>
  <si>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</si>
  <si>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</si>
  <si>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</si>
  <si>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</si>
  <si>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</si>
  <si>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</si>
  <si>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</si>
  <si>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</si>
  <si>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</si>
  <si>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</si>
  <si>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</si>
  <si>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</si>
  <si>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</si>
  <si>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</si>
  <si>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</si>
  <si>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</si>
  <si>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</si>
  <si>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</si>
  <si>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</si>
  <si>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</si>
  <si>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</si>
  <si>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</si>
  <si>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</si>
  <si>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</si>
  <si>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</si>
  <si>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</si>
  <si>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</si>
  <si>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</si>
  <si>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</si>
  <si>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</si>
  <si>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</si>
  <si>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</si>
  <si>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</si>
  <si>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</si>
  <si>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</si>
  <si>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</si>
  <si>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</si>
  <si>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</si>
  <si>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</si>
  <si>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</si>
  <si>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</si>
  <si>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</si>
  <si>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</si>
  <si>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</si>
  <si>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</si>
  <si>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</si>
  <si>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</si>
  <si>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</si>
  <si>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</si>
  <si>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</si>
  <si>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</si>
  <si>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</si>
  <si>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</si>
  <si>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</si>
  <si>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</si>
  <si>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</si>
  <si>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</si>
  <si>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</si>
  <si>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</si>
  <si>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</si>
  <si>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</si>
  <si>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</si>
  <si>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</si>
  <si>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</si>
  <si>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</si>
  <si>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</si>
  <si>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</si>
  <si>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</si>
  <si>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</si>
  <si>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</si>
  <si>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</si>
  <si>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</si>
  <si>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</si>
  <si>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</si>
  <si>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</si>
  <si>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</si>
  <si>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</si>
  <si>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</si>
  <si>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</si>
  <si>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</si>
  <si>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</si>
  <si>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</si>
  <si>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</si>
  <si>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</si>
  <si>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</si>
  <si>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</si>
  <si>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</si>
  <si>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</si>
  <si>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</si>
  <si>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</si>
  <si>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</si>
  <si>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</si>
  <si>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</si>
  <si>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</si>
  <si>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</si>
  <si>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</si>
  <si>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</si>
  <si>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</si>
  <si>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</si>
  <si>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</si>
  <si>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</si>
  <si>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</si>
  <si>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</si>
  <si>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</si>
  <si>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</si>
  <si>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</si>
  <si>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</si>
  <si>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</si>
  <si>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</si>
  <si>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</si>
  <si>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</si>
  <si>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</si>
  <si>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</si>
  <si>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</si>
  <si>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</si>
  <si>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</si>
  <si>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</si>
  <si>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</si>
  <si>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</si>
  <si>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</si>
  <si>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</si>
  <si>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</si>
  <si>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</si>
  <si>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</si>
  <si>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</si>
  <si>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</si>
  <si>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</si>
  <si>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</si>
  <si>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</si>
  <si>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</si>
  <si>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</si>
  <si>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</si>
  <si>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</si>
  <si>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</si>
  <si>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</si>
  <si>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</si>
  <si>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</si>
  <si>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</si>
  <si>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</si>
  <si>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</si>
  <si>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</si>
  <si>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</si>
  <si>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</si>
  <si>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</si>
  <si>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</si>
  <si>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</si>
  <si>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</si>
  <si>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</si>
  <si>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</si>
  <si>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</si>
  <si>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</si>
  <si>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</si>
  <si>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</si>
  <si>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</si>
  <si>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</si>
  <si>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</si>
  <si>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</si>
  <si>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</si>
  <si>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</si>
  <si>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</si>
  <si>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</si>
  <si>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</si>
  <si>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</si>
  <si>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</si>
  <si>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</si>
  <si>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</si>
  <si>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</si>
  <si>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</si>
  <si>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</si>
  <si>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</si>
  <si>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</si>
  <si>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</si>
  <si>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</si>
  <si>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</si>
  <si>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</si>
  <si>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</si>
  <si>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</si>
  <si>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</si>
  <si>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</si>
  <si>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</si>
  <si>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</si>
  <si>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</si>
  <si>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</si>
  <si>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</si>
  <si>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</si>
  <si>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</si>
  <si>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</si>
  <si>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</si>
  <si>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</si>
  <si>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</si>
  <si>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</si>
  <si>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</si>
  <si>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</si>
  <si>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</si>
  <si>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</si>
  <si>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</si>
  <si>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</si>
  <si>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</si>
  <si>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</si>
  <si>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</si>
  <si>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</si>
  <si>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</si>
  <si>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</si>
  <si>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</si>
  <si>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</si>
  <si>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</si>
  <si>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</si>
  <si>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</si>
  <si>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</si>
  <si>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</si>
  <si>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</si>
  <si>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</si>
  <si>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</si>
  <si>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</si>
  <si>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</si>
  <si>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</si>
  <si>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</si>
  <si>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</si>
  <si>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</si>
  <si>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</si>
  <si>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</si>
  <si>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</si>
  <si>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</si>
  <si>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</si>
  <si>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</si>
  <si>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</si>
  <si>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</si>
  <si>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</si>
  <si>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</si>
  <si>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</si>
  <si>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</si>
  <si>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</si>
  <si>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</si>
  <si>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</si>
  <si>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</si>
  <si>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</si>
  <si>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</si>
  <si>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</si>
  <si>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</si>
  <si>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</si>
  <si>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</si>
  <si>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</si>
  <si>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</si>
  <si>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</si>
  <si>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</si>
  <si>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</si>
  <si>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</si>
  <si>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</si>
  <si>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</si>
  <si>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</si>
  <si>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</si>
  <si>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</si>
  <si>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</si>
  <si>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</si>
  <si>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</si>
  <si>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</si>
  <si>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</si>
  <si>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</si>
  <si>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</si>
  <si>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</si>
  <si>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</si>
  <si>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</si>
  <si>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</si>
  <si>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</si>
  <si>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</si>
  <si>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</si>
  <si>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</si>
  <si>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</si>
  <si>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</si>
  <si>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</si>
  <si>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</si>
  <si>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</si>
  <si>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</si>
  <si>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</si>
  <si>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</si>
  <si>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</si>
  <si>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</si>
  <si>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</si>
  <si>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</si>
  <si>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</si>
  <si>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</si>
  <si>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</si>
  <si>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</si>
  <si>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</si>
  <si>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</si>
  <si>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</si>
  <si>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</si>
  <si>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</si>
  <si>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</si>
  <si>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</si>
  <si>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</si>
  <si>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</si>
  <si>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</si>
  <si>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</si>
  <si>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</si>
  <si>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</si>
  <si>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</si>
  <si>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</si>
  <si>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</si>
  <si>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</si>
  <si>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</si>
  <si>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</si>
  <si>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</si>
  <si>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</si>
  <si>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</si>
  <si>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</si>
  <si>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</si>
  <si>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</si>
  <si>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</si>
  <si>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</si>
  <si>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</si>
  <si>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</si>
  <si>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</si>
  <si>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</si>
  <si>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</si>
  <si>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</si>
  <si>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</si>
  <si>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</si>
  <si>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</si>
  <si>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</si>
  <si>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</si>
  <si>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</si>
  <si>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</si>
  <si>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</si>
  <si>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</si>
  <si>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</si>
  <si>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</si>
  <si>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</si>
  <si>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</si>
  <si>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</si>
  <si>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</si>
  <si>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</si>
  <si>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</si>
  <si>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</si>
  <si>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</si>
  <si>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</si>
  <si>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</si>
  <si>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</si>
  <si>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</si>
  <si>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</si>
  <si>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</si>
  <si>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</si>
  <si>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</si>
  <si>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</si>
  <si>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</si>
  <si>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</si>
  <si>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</si>
  <si>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</si>
  <si>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</si>
  <si>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</si>
  <si>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</si>
  <si>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</si>
  <si>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</si>
  <si>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</si>
  <si>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</si>
  <si>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</si>
  <si>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</si>
  <si>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</si>
  <si>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</si>
  <si>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</si>
  <si>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</si>
  <si>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</si>
  <si>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</si>
  <si>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</si>
  <si>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</si>
  <si>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</si>
  <si>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</si>
  <si>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</si>
  <si>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</si>
  <si>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</si>
  <si>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</si>
  <si>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</si>
  <si>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</si>
  <si>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</si>
  <si>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</si>
  <si>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</si>
  <si>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</si>
  <si>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</si>
  <si>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</si>
  <si>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</si>
  <si>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</si>
  <si>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</si>
  <si>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</si>
  <si>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</si>
  <si>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</si>
  <si>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</si>
  <si>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</si>
  <si>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</si>
  <si>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</si>
  <si>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</si>
  <si>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</si>
  <si>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</si>
  <si>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</si>
  <si>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</si>
  <si>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</si>
  <si>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</si>
  <si>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</si>
  <si>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</si>
  <si>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</si>
  <si>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</si>
  <si>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</si>
  <si>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</si>
  <si>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</si>
  <si>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</si>
  <si>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</si>
  <si>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</si>
  <si>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</si>
  <si>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</si>
  <si>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</si>
  <si>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</si>
  <si>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</si>
  <si>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</si>
  <si>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</si>
  <si>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</si>
  <si>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</si>
  <si>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</si>
  <si>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</si>
  <si>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</si>
  <si>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</si>
  <si>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</si>
  <si>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</si>
  <si>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</si>
  <si>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</si>
  <si>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</si>
  <si>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</si>
  <si>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</si>
  <si>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</si>
  <si>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</si>
  <si>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</si>
  <si>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</si>
  <si>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</si>
  <si>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</si>
  <si>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</si>
  <si>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</si>
  <si>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</si>
  <si>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</si>
  <si>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</si>
  <si>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</si>
  <si>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</si>
  <si>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</si>
  <si>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</si>
  <si>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</si>
  <si>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</si>
  <si>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</si>
  <si>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</si>
  <si>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</si>
  <si>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</si>
  <si>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</si>
  <si>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</si>
  <si>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</si>
  <si>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</si>
  <si>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</si>
  <si>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</si>
  <si>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</si>
  <si>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</si>
  <si>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</si>
  <si>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</si>
  <si>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</si>
  <si>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</si>
  <si>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</si>
  <si>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</si>
  <si>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</si>
  <si>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</si>
  <si>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</si>
  <si>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</si>
  <si>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</si>
  <si>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</si>
  <si>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</si>
  <si>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</si>
  <si>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</si>
  <si>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</si>
  <si>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</si>
  <si>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</si>
  <si>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</si>
  <si>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</si>
  <si>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</si>
  <si>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</si>
  <si>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</si>
  <si>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</si>
  <si>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</si>
  <si>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</si>
  <si>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</si>
  <si>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</si>
  <si>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</si>
  <si>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</si>
  <si>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</si>
  <si>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</si>
  <si>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</si>
  <si>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</si>
  <si>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</si>
  <si>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</si>
  <si>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</si>
  <si>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</si>
  <si>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</si>
  <si>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</si>
  <si>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</si>
  <si>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</si>
  <si>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</si>
  <si>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</si>
  <si>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</si>
  <si>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</si>
  <si>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</si>
  <si>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</si>
  <si>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</si>
  <si>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</si>
  <si>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</si>
  <si>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</si>
  <si>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</si>
  <si>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</si>
  <si>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</si>
  <si>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</si>
  <si>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</si>
  <si>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</si>
  <si>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</si>
  <si>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</si>
  <si>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</si>
  <si>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</si>
  <si>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</si>
  <si>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</si>
  <si>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</si>
  <si>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</si>
  <si>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</si>
  <si>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</si>
  <si>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</si>
  <si>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</si>
  <si>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</si>
  <si>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</si>
  <si>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</si>
  <si>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</si>
  <si>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</si>
  <si>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</si>
  <si>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</si>
  <si>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</si>
  <si>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</si>
  <si>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</si>
  <si>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</si>
  <si>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</si>
  <si>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</si>
  <si>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</si>
  <si>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</si>
  <si>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</si>
  <si>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</si>
  <si>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</si>
  <si>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</si>
  <si>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</si>
  <si>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</si>
  <si>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</si>
  <si>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</si>
  <si>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</si>
  <si>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</si>
  <si>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</si>
  <si>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</si>
  <si>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</si>
  <si>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</si>
  <si>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</si>
  <si>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</si>
  <si>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</si>
  <si>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</si>
  <si>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</si>
  <si>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</si>
  <si>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</si>
  <si>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</si>
  <si>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</si>
  <si>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</si>
  <si>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</si>
  <si>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</si>
  <si>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</si>
  <si>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</si>
  <si>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</si>
  <si>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</si>
  <si>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</si>
  <si>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</si>
  <si>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</si>
  <si>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</si>
  <si>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</si>
  <si>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</si>
  <si>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</si>
  <si>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</si>
  <si>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</si>
  <si>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</si>
  <si>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</si>
  <si>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</si>
  <si>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</si>
  <si>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</si>
  <si>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</si>
  <si>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</si>
  <si>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</si>
  <si>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</si>
  <si>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</si>
  <si>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</si>
  <si>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</si>
  <si>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</si>
  <si>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</si>
  <si>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</si>
  <si>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</si>
  <si>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</si>
  <si>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</si>
  <si>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</si>
  <si>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</si>
  <si>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</si>
  <si>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</si>
  <si>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</si>
  <si>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</si>
  <si>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</si>
  <si>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</si>
  <si>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</si>
  <si>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</si>
  <si>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</si>
  <si>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</si>
  <si>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</si>
  <si>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</si>
  <si>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</si>
  <si>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</si>
  <si>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</si>
  <si>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</si>
  <si>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</si>
  <si>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</si>
  <si>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</si>
  <si>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</si>
  <si>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</si>
  <si>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</si>
  <si>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</si>
  <si>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</si>
  <si>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</si>
  <si>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</si>
  <si>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</si>
  <si>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</si>
  <si>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</si>
  <si>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</si>
  <si>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</si>
  <si>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</si>
  <si>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</si>
  <si>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</si>
  <si>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</si>
  <si>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</si>
  <si>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</si>
  <si>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</si>
  <si>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</si>
  <si>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</si>
  <si>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</si>
  <si>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</si>
  <si>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</si>
  <si>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</si>
  <si>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</si>
  <si>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</si>
  <si>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</si>
  <si>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</si>
  <si>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</si>
  <si>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</si>
  <si>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</si>
  <si>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</si>
  <si>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</si>
  <si>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</si>
  <si>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</si>
  <si>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</si>
  <si>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</si>
  <si>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</si>
  <si>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</si>
  <si>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</si>
  <si>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</si>
  <si>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</si>
  <si>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</si>
  <si>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</si>
  <si>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</si>
  <si>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</si>
  <si>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</si>
  <si>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</si>
  <si>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</si>
  <si>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</si>
  <si>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</si>
  <si>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</si>
  <si>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</si>
  <si>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</si>
  <si>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</si>
  <si>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</si>
  <si>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</si>
  <si>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</si>
  <si>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</si>
  <si>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</si>
  <si>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</si>
  <si>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</si>
  <si>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</si>
  <si>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</si>
  <si>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</si>
  <si>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</si>
  <si>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</si>
  <si>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</si>
  <si>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</si>
  <si>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</si>
  <si>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</si>
  <si>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</si>
  <si>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</si>
  <si>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</si>
  <si>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</si>
  <si>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</si>
  <si>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</si>
  <si>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</si>
  <si>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</si>
  <si>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</si>
  <si>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</si>
  <si>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</si>
  <si>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</si>
  <si>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</si>
  <si>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</si>
  <si>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</si>
  <si>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</si>
  <si>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</si>
  <si>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</si>
  <si>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</si>
  <si>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</si>
  <si>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</si>
  <si>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</si>
  <si>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</si>
  <si>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</si>
  <si>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</si>
  <si>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</si>
  <si>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</si>
  <si>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</si>
  <si>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</si>
  <si>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</si>
  <si>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</si>
  <si>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</si>
  <si>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</si>
  <si>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</si>
  <si>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</si>
  <si>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</si>
  <si>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</si>
  <si>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</si>
  <si>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</si>
  <si>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</si>
  <si>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</si>
  <si>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</si>
  <si>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</si>
  <si>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</si>
  <si>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</si>
  <si>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</si>
  <si>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</si>
  <si>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</si>
  <si>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</si>
  <si>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</si>
  <si>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</si>
  <si>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</si>
  <si>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</si>
  <si>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</si>
  <si>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</si>
  <si>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</si>
  <si>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</si>
  <si>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</si>
  <si>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</si>
  <si>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</si>
  <si>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</si>
  <si>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</si>
  <si>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</si>
  <si>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</si>
  <si>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</si>
  <si>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</si>
  <si>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</si>
  <si>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</si>
  <si>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</si>
  <si>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</si>
  <si>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</si>
  <si>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</si>
  <si>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</si>
  <si>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</si>
  <si>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</si>
  <si>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</si>
  <si>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</si>
  <si>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</si>
  <si>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</si>
  <si>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</si>
  <si>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</si>
  <si>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</si>
  <si>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</si>
  <si>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</si>
  <si>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</si>
  <si>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</si>
  <si>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</si>
  <si>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</si>
  <si>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</si>
  <si>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</si>
  <si>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</si>
  <si>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</si>
  <si>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</si>
  <si>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</si>
  <si>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</si>
  <si>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</si>
  <si>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</si>
  <si>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</si>
  <si>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</si>
  <si>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</si>
  <si>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</si>
  <si>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</si>
  <si>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</si>
  <si>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</si>
  <si>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</si>
  <si>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</si>
  <si>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</si>
  <si>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</si>
  <si>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</si>
  <si>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</si>
  <si>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</si>
  <si>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</si>
  <si>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</si>
  <si>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</si>
  <si>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</si>
  <si>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</si>
  <si>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</si>
  <si>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</si>
  <si>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</si>
  <si>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</si>
  <si>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</si>
  <si>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</si>
  <si>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</si>
  <si>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</si>
  <si>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</si>
  <si>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</si>
  <si>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</si>
  <si>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</si>
  <si>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</si>
  <si>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</si>
  <si>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</si>
  <si>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</si>
  <si>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</si>
  <si>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</si>
  <si>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</si>
  <si>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</si>
  <si>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</si>
  <si>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</si>
  <si>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</si>
  <si>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</si>
  <si>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</si>
  <si>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</si>
  <si>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</si>
  <si>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</si>
  <si>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</si>
  <si>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</si>
  <si>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</si>
  <si>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</si>
  <si>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</si>
  <si>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</si>
  <si>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</si>
  <si>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</si>
  <si>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</si>
  <si>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</si>
  <si>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</si>
  <si>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</si>
  <si>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</si>
  <si>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</si>
  <si>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</si>
  <si>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</si>
  <si>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</si>
  <si>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</si>
  <si>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</si>
  <si>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</si>
  <si>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</si>
  <si>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</si>
  <si>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</si>
  <si>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</si>
  <si>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</si>
  <si>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</si>
  <si>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</si>
  <si>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</si>
  <si>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</si>
  <si>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</si>
  <si>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</si>
  <si>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</si>
  <si>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</si>
  <si>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</si>
  <si>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</si>
  <si>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</si>
  <si>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</si>
  <si>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</si>
  <si>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</si>
  <si>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</si>
  <si>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</si>
  <si>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</si>
  <si>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</si>
  <si>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</si>
  <si>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</si>
  <si>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</si>
  <si>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</si>
  <si>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</si>
  <si>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</si>
  <si>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</si>
  <si>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</si>
  <si>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</si>
  <si>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</si>
  <si>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</si>
  <si>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</si>
  <si>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</si>
  <si>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</si>
  <si>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</si>
  <si>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</si>
  <si>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</si>
  <si>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</si>
  <si>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</si>
  <si>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</si>
  <si>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</si>
  <si>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</si>
  <si>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</si>
  <si>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</si>
  <si>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</si>
  <si>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</si>
  <si>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</si>
  <si>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</si>
  <si>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</si>
  <si>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</si>
  <si>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</si>
  <si>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</si>
  <si>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</si>
  <si>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</si>
  <si>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</si>
  <si>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</si>
  <si>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</si>
  <si>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</si>
  <si>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</si>
  <si>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</si>
  <si>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</si>
  <si>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</si>
  <si>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</si>
  <si>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</si>
  <si>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</si>
  <si>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</si>
  <si>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</si>
  <si>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</si>
  <si>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</si>
  <si>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</si>
  <si>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</si>
  <si>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</si>
  <si>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</si>
  <si>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</si>
  <si>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</si>
  <si>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</si>
  <si>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</si>
  <si>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</si>
  <si>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</si>
  <si>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</si>
  <si>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</si>
  <si>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</si>
  <si>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</si>
  <si>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</si>
  <si>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</si>
  <si>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</si>
  <si>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</si>
  <si>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</si>
  <si>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</si>
  <si>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</si>
  <si>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</si>
  <si>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</si>
  <si>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</si>
  <si>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</si>
  <si>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</si>
  <si>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</si>
  <si>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</si>
  <si>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</si>
  <si>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</si>
  <si>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</si>
  <si>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</si>
  <si>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</si>
  <si>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</si>
  <si>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</si>
  <si>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</si>
  <si>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</si>
  <si>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</si>
  <si>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</si>
  <si>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</si>
  <si>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</si>
  <si>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</si>
  <si>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</si>
  <si>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</si>
  <si>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</si>
  <si>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</si>
  <si>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</si>
  <si>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</si>
  <si>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</si>
  <si>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</si>
  <si>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</si>
  <si>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</si>
  <si>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</si>
  <si>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</si>
  <si>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</si>
  <si>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</si>
  <si>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</si>
  <si>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</si>
  <si>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</si>
  <si>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</si>
  <si>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</si>
  <si>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</si>
  <si>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</si>
  <si>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</si>
  <si>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</si>
  <si>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</si>
  <si>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</si>
  <si>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</si>
  <si>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</si>
  <si>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</si>
  <si>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</si>
  <si>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</si>
  <si>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</si>
  <si>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</si>
  <si>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</si>
  <si>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</si>
  <si>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</si>
  <si>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</si>
  <si>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</si>
  <si>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</si>
  <si>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</si>
  <si>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</si>
  <si>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</si>
  <si>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</si>
  <si>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</si>
  <si>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</si>
  <si>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</si>
  <si>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</si>
  <si>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</si>
  <si>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</si>
  <si>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</si>
  <si>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</si>
  <si>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</si>
  <si>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</si>
  <si>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</si>
  <si>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</si>
  <si>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</si>
  <si>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</si>
  <si>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</si>
  <si>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</si>
  <si>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</si>
  <si>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</si>
  <si>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</si>
  <si>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</si>
  <si>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</si>
  <si>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</si>
  <si>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</si>
  <si>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</si>
  <si>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</si>
  <si>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</si>
  <si>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</si>
  <si>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</si>
  <si>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</si>
  <si>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</si>
  <si>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</si>
  <si>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</si>
  <si>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</si>
  <si>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</si>
  <si>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</si>
  <si>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</si>
  <si>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</si>
  <si>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</si>
  <si>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</si>
  <si>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</si>
  <si>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</si>
  <si>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</si>
  <si>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</si>
  <si>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</si>
  <si>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</si>
  <si>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</si>
  <si>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</si>
  <si>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</si>
  <si>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</si>
  <si>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</si>
  <si>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</si>
  <si>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</si>
  <si>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</si>
  <si>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</si>
  <si>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</si>
  <si>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</si>
  <si>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</si>
  <si>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</si>
  <si>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</si>
  <si>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</si>
  <si>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</si>
  <si>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</si>
  <si>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</si>
  <si>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</si>
  <si>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</si>
  <si>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</si>
  <si>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</si>
  <si>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</si>
  <si>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</si>
  <si>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</si>
  <si>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</si>
  <si>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</si>
  <si>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</si>
  <si>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</si>
  <si>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</si>
  <si>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</si>
  <si>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</si>
  <si>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</si>
  <si>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</si>
  <si>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</si>
  <si>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</si>
  <si>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</si>
  <si>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</si>
  <si>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</si>
  <si>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</si>
  <si>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</si>
  <si>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</si>
  <si>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</si>
  <si>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</si>
  <si>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</si>
  <si>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</si>
  <si>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</si>
  <si>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</si>
  <si>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</si>
  <si>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</si>
  <si>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</si>
  <si>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</si>
  <si>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</si>
  <si>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</si>
  <si>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</si>
  <si>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</si>
  <si>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</si>
  <si>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</si>
  <si>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</si>
  <si>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</si>
  <si>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</si>
  <si>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</si>
  <si>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</si>
  <si>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</si>
  <si>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</si>
  <si>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</si>
  <si>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</si>
  <si>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</si>
  <si>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</si>
  <si>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</si>
  <si>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</si>
  <si>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</si>
  <si>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</si>
  <si>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</si>
  <si>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</si>
  <si>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</si>
  <si>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</si>
  <si>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</si>
  <si>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</si>
  <si>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</si>
  <si>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</si>
  <si>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</si>
  <si>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</si>
  <si>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</si>
  <si>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</si>
  <si>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</si>
  <si>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</si>
  <si>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</si>
  <si>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</si>
  <si>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</si>
  <si>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</si>
  <si>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</si>
  <si>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</si>
  <si>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</si>
  <si>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</si>
  <si>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</si>
  <si>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</si>
  <si>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</si>
  <si>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</si>
  <si>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</si>
  <si>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</si>
  <si>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</si>
  <si>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</si>
  <si>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</si>
  <si>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</si>
  <si>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</si>
  <si>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</si>
  <si>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</si>
  <si>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</si>
  <si>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</si>
  <si>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</si>
  <si>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</si>
  <si>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</si>
  <si>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</si>
  <si>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</si>
  <si>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</si>
  <si>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</si>
  <si>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</si>
  <si>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</si>
  <si>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</si>
  <si>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</si>
  <si>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</si>
  <si>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</si>
  <si>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</si>
  <si>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</si>
  <si>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</si>
  <si>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</si>
  <si>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</si>
  <si>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</si>
  <si>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</si>
  <si>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</si>
  <si>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</si>
  <si>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</si>
  <si>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</si>
  <si>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</si>
  <si>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</si>
  <si>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</si>
  <si>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</si>
  <si>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</si>
  <si>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</si>
  <si>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</si>
  <si>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</si>
  <si>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</si>
  <si>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</si>
  <si>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</si>
  <si>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</si>
  <si>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</si>
  <si>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</si>
  <si>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</si>
  <si>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</si>
  <si>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</si>
  <si>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</si>
  <si>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</si>
  <si>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</si>
  <si>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</si>
  <si>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</si>
  <si>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</si>
  <si>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</si>
  <si>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</si>
  <si>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</si>
  <si>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</si>
  <si>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</si>
  <si>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</si>
  <si>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</si>
  <si>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</si>
  <si>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</si>
  <si>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</si>
  <si>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</si>
  <si>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</si>
  <si>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</si>
  <si>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</si>
  <si>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</si>
  <si>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</si>
  <si>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</si>
  <si>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</si>
  <si>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</si>
  <si>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</si>
  <si>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</si>
  <si>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</si>
  <si>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</si>
  <si>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</si>
  <si>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</si>
  <si>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</si>
  <si>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</si>
  <si>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</si>
  <si>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</si>
  <si>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</si>
  <si>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</si>
  <si>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</si>
  <si>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</si>
  <si>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</si>
  <si>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</si>
  <si>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</si>
  <si>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</si>
  <si>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</si>
  <si>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</si>
  <si>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</si>
  <si>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</si>
  <si>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</si>
  <si>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</si>
  <si>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</si>
  <si>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</si>
  <si>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</si>
  <si>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</si>
  <si>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</si>
  <si>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</si>
  <si>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</si>
  <si>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</si>
  <si>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</si>
  <si>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</si>
  <si>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</si>
  <si>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</si>
  <si>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</si>
  <si>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</si>
  <si>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</si>
  <si>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</si>
  <si>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</si>
  <si>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</si>
  <si>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</si>
  <si>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</si>
  <si>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</si>
  <si>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</si>
  <si>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</si>
  <si>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</si>
  <si>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</si>
  <si>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</si>
  <si>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</si>
  <si>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</si>
  <si>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</si>
  <si>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</si>
  <si>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</si>
  <si>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</si>
  <si>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</si>
  <si>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</si>
  <si>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</si>
  <si>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</si>
  <si>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</si>
  <si>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</si>
  <si>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</si>
  <si>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</si>
  <si>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</si>
  <si>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</si>
  <si>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</si>
  <si>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</si>
  <si>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</si>
  <si>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</si>
  <si>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</si>
  <si>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</si>
  <si>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</si>
  <si>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</si>
  <si>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</si>
  <si>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</si>
  <si>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</si>
  <si>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</si>
  <si>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</si>
  <si>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</si>
  <si>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</si>
  <si>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</si>
  <si>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</si>
  <si>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</si>
  <si>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</si>
  <si>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</si>
  <si>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</si>
  <si>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</si>
  <si>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</si>
  <si>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</si>
  <si>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</si>
  <si>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</si>
  <si>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</si>
  <si>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</si>
  <si>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</si>
  <si>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</si>
  <si>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</si>
  <si>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</si>
  <si>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</si>
  <si>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</si>
  <si>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</si>
  <si>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</si>
  <si>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</si>
  <si>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</si>
  <si>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</si>
  <si>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</si>
  <si>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</si>
  <si>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</si>
  <si>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</si>
  <si>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</si>
  <si>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</si>
  <si>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</si>
  <si>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</si>
  <si>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</si>
  <si>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</si>
  <si>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</si>
  <si>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</si>
  <si>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</si>
  <si>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</si>
  <si>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</si>
  <si>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</si>
  <si>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</si>
  <si>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</si>
  <si>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</si>
  <si>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</si>
  <si>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</si>
  <si>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</si>
  <si>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</si>
  <si>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</si>
  <si>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</si>
  <si>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</si>
  <si>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</si>
  <si>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</si>
  <si>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</si>
  <si>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</si>
  <si>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</si>
  <si>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</si>
  <si>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</si>
  <si>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</si>
  <si>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</si>
  <si>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</si>
  <si>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</si>
  <si>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</si>
  <si>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</si>
  <si>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</si>
  <si>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</si>
  <si>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</si>
  <si>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</si>
  <si>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</si>
  <si>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</si>
  <si>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</si>
  <si>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</si>
  <si>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</si>
  <si>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</si>
  <si>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</si>
  <si>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</si>
  <si>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</si>
  <si>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</si>
  <si>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</si>
  <si>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</si>
  <si>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</si>
  <si>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</si>
  <si>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</si>
  <si>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</si>
  <si>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</si>
  <si>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</si>
  <si>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</si>
  <si>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</si>
  <si>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</si>
  <si>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</si>
  <si>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</si>
  <si>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</si>
  <si>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</si>
  <si>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</si>
  <si>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</si>
  <si>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</si>
  <si>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</si>
  <si>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</si>
  <si>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</si>
  <si>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</si>
  <si>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</si>
  <si>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</si>
  <si>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</si>
  <si>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</si>
  <si>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</si>
  <si>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</si>
  <si>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</si>
  <si>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</si>
  <si>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</si>
  <si>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</si>
  <si>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</si>
  <si>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</si>
  <si>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</si>
  <si>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</si>
  <si>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</si>
  <si>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</si>
  <si>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</si>
  <si>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</si>
  <si>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</si>
  <si>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</si>
  <si>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</si>
  <si>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</si>
  <si>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</si>
  <si>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</si>
  <si>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</si>
  <si>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</si>
  <si>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</si>
  <si>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</si>
  <si>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</si>
  <si>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</si>
  <si>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</si>
  <si>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</si>
  <si>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</si>
  <si>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</si>
  <si>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</si>
  <si>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</si>
  <si>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</si>
  <si>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</si>
  <si>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</si>
  <si>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</si>
  <si>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</si>
  <si>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</si>
  <si>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</si>
  <si>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</si>
  <si>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</si>
  <si>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</si>
  <si>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</si>
  <si>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</si>
  <si>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</si>
  <si>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</si>
  <si>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</si>
  <si>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</si>
  <si>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</si>
  <si>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</si>
  <si>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</si>
  <si>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</si>
  <si>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</si>
  <si>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</si>
  <si>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</si>
  <si>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</si>
  <si>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</si>
  <si>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</si>
  <si>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</si>
  <si>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</si>
  <si>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</si>
  <si>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</si>
  <si>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</si>
  <si>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</si>
  <si>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</si>
  <si>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</si>
  <si>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</si>
  <si>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</si>
  <si>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</si>
  <si>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</si>
  <si>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</si>
  <si>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</si>
  <si>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</si>
  <si>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</si>
  <si>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</si>
  <si>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</si>
  <si>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</si>
  <si>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</si>
  <si>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</si>
  <si>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</si>
  <si>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</si>
  <si>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</si>
  <si>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</si>
  <si>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</si>
  <si>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</si>
  <si>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</si>
  <si>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</si>
  <si>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</si>
  <si>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</si>
  <si>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</si>
  <si>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</si>
  <si>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</si>
  <si>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</si>
  <si>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</si>
  <si>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</si>
  <si>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</si>
  <si>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</si>
  <si>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</si>
  <si>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</si>
  <si>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</si>
  <si>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</si>
  <si>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</si>
  <si>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</si>
  <si>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</si>
  <si>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</si>
  <si>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</si>
  <si>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</si>
  <si>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</si>
  <si>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</si>
  <si>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</si>
  <si>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</si>
  <si>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</si>
  <si>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</si>
  <si>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</si>
  <si>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</si>
  <si>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</si>
  <si>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</si>
  <si>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</si>
  <si>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</si>
  <si>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</si>
  <si>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</si>
  <si>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</si>
  <si>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</si>
  <si>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</si>
  <si>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</si>
  <si>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</si>
  <si>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</si>
  <si>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</si>
  <si>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</si>
  <si>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</si>
  <si>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</si>
  <si>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</si>
  <si>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</si>
  <si>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</si>
  <si>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</si>
  <si>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</si>
  <si>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</si>
  <si>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</si>
  <si>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</si>
  <si>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</si>
  <si>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</si>
  <si>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</si>
  <si>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</si>
  <si>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</si>
  <si>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</si>
  <si>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</si>
  <si>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</si>
  <si>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</si>
  <si>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</si>
  <si>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</si>
  <si>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</si>
  <si>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</si>
  <si>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</si>
  <si>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</si>
  <si>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</si>
  <si>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</si>
  <si>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</si>
  <si>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</si>
  <si>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</si>
  <si>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</si>
  <si>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</si>
  <si>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</si>
  <si>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</si>
  <si>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</si>
  <si>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</si>
  <si>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</si>
  <si>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</si>
  <si>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</si>
  <si>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</si>
  <si>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</si>
  <si>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</si>
  <si>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</si>
  <si>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</si>
  <si>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</si>
  <si>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</si>
  <si>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</si>
  <si>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</si>
  <si>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</si>
  <si>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</si>
  <si>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</si>
  <si>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</si>
  <si>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</si>
  <si>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</si>
  <si>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</si>
  <si>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</si>
  <si>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</si>
  <si>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</si>
  <si>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</si>
  <si>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</si>
  <si>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</si>
  <si>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</si>
  <si>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</si>
  <si>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</si>
  <si>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</si>
  <si>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</si>
  <si>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</si>
  <si>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</si>
  <si>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</si>
  <si>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</si>
  <si>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</si>
  <si>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</si>
  <si>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</si>
  <si>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</si>
  <si>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</si>
  <si>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</si>
  <si>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</si>
  <si>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</si>
  <si>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</si>
  <si>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</si>
  <si>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</si>
  <si>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</si>
  <si>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</si>
  <si>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</si>
  <si>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</si>
  <si>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</si>
  <si>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</si>
  <si>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</si>
  <si>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</si>
  <si>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</si>
  <si>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</si>
  <si>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</si>
  <si>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</si>
  <si>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</si>
  <si>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</si>
  <si>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</si>
  <si>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</si>
  <si>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</si>
  <si>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</si>
  <si>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</si>
  <si>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</si>
  <si>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</si>
  <si>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</si>
  <si>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</si>
  <si>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</si>
  <si>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</si>
  <si>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</si>
  <si>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</si>
  <si>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</si>
  <si>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</si>
  <si>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</si>
  <si>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</si>
  <si>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</si>
  <si>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</si>
  <si>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</si>
  <si>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</si>
  <si>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</si>
  <si>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</si>
  <si>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</si>
  <si>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</si>
  <si>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</si>
  <si>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</si>
  <si>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</si>
  <si>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</si>
  <si>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</si>
  <si>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</si>
  <si>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</si>
  <si>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</si>
  <si>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</si>
  <si>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</si>
  <si>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</si>
  <si>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</si>
  <si>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</si>
  <si>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</si>
  <si>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</si>
  <si>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</si>
  <si>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</si>
  <si>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</si>
  <si>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</si>
  <si>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</si>
  <si>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</si>
  <si>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</si>
  <si>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</si>
  <si>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</si>
  <si>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</si>
  <si>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</si>
  <si>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</si>
  <si>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</si>
  <si>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</si>
  <si>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</si>
  <si>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</si>
  <si>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</si>
  <si>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</si>
  <si>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</si>
  <si>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</si>
  <si>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</si>
  <si>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</si>
  <si>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</si>
  <si>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</si>
  <si>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</si>
  <si>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</si>
  <si>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</si>
  <si>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</si>
  <si>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</si>
  <si>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</si>
  <si>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</si>
  <si>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</si>
  <si>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</si>
  <si>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</si>
  <si>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</si>
  <si>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</si>
  <si>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</si>
  <si>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</si>
  <si>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</si>
  <si>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</si>
  <si>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</si>
  <si>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</si>
  <si>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</si>
  <si>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</si>
  <si>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</si>
  <si>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</si>
  <si>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</si>
  <si>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</si>
  <si>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</si>
  <si>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</si>
  <si>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</si>
  <si>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</si>
  <si>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</si>
  <si>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</si>
  <si>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</si>
  <si>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</si>
  <si>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</si>
  <si>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</si>
  <si>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</si>
  <si>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</si>
  <si>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</si>
  <si>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</si>
  <si>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</si>
  <si>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</si>
  <si>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</si>
  <si>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</si>
  <si>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</si>
  <si>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</si>
  <si>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</si>
  <si>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</si>
  <si>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</si>
  <si>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</si>
  <si>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</si>
  <si>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</si>
  <si>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</si>
  <si>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</si>
  <si>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</si>
  <si>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</si>
  <si>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</si>
  <si>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</si>
  <si>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</si>
  <si>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</si>
  <si>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</si>
  <si>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</si>
  <si>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Outils Spécialisés Volks</t>
  </si>
  <si>
    <t>KIMOBY</t>
  </si>
  <si>
    <t>1109</t>
  </si>
  <si>
    <t>FRAIS DE LIVRAISON PIECES</t>
  </si>
  <si>
    <t>6758</t>
  </si>
  <si>
    <t>Revenus d'interets floor plan</t>
  </si>
  <si>
    <t>9405</t>
  </si>
  <si>
    <t>VTES -VTE - ID4</t>
  </si>
  <si>
    <t>4141</t>
  </si>
  <si>
    <t>C/V - ID4</t>
  </si>
  <si>
    <t>5141</t>
  </si>
  <si>
    <t># DE VTW - ID4</t>
  </si>
  <si>
    <t>4141@</t>
  </si>
  <si>
    <t>Suivi de Démo</t>
  </si>
  <si>
    <t># Stock</t>
  </si>
  <si>
    <t>$ Valeur</t>
  </si>
  <si>
    <t xml:space="preserve">Nom </t>
  </si>
  <si>
    <t>Prénom</t>
  </si>
  <si>
    <t>Titre / Fonction</t>
  </si>
  <si>
    <t>C/V - BONI CPO</t>
  </si>
  <si>
    <t>5208</t>
  </si>
  <si>
    <t>6512</t>
  </si>
  <si>
    <t>FREDERIC</t>
  </si>
  <si>
    <t>BEAUVAIS</t>
  </si>
  <si>
    <t>CONSEILLER VENTE</t>
  </si>
  <si>
    <t>DG</t>
  </si>
  <si>
    <t>JUAN ANDRES</t>
  </si>
  <si>
    <t>CABALLERO</t>
  </si>
  <si>
    <t>940</t>
  </si>
  <si>
    <t>BAIIA Corpo</t>
  </si>
  <si>
    <t>PARADIS</t>
  </si>
  <si>
    <t>ALEXANDRE</t>
  </si>
  <si>
    <t>DIRECTEUR ADJ VENTE</t>
  </si>
  <si>
    <t>C/V - AUTRES PNEUS</t>
  </si>
  <si>
    <t>5786</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</si>
  <si>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</si>
  <si>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</si>
  <si>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</si>
  <si>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</si>
  <si>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</si>
  <si>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AMORT. CUM. AMEL. LOCAT. CPO</t>
  </si>
  <si>
    <t>1735</t>
  </si>
  <si>
    <t>AMORT.CUMUL.PROJET VOLKS</t>
  </si>
  <si>
    <t>1741</t>
  </si>
  <si>
    <t>Forecast Immobilisation 2025</t>
  </si>
  <si>
    <t>Équipement informatique</t>
  </si>
  <si>
    <t>Budget 2025</t>
  </si>
  <si>
    <t>Budget 2025 Mensuel VOLKS</t>
  </si>
  <si>
    <t>Intérêts sur hypothèque</t>
  </si>
  <si>
    <t>Réel 2024</t>
  </si>
  <si>
    <t>Revenus d'intérêts Floor plan</t>
  </si>
  <si>
    <t>FPA FLOORPLAN</t>
  </si>
  <si>
    <t>Nouveau building</t>
  </si>
  <si>
    <t xml:space="preserve"> AAJ</t>
  </si>
  <si>
    <t>TAUX MAIN D'OEUVRE - CLIENT - VW - VEB</t>
  </si>
  <si>
    <t>266</t>
  </si>
  <si>
    <t>26</t>
  </si>
  <si>
    <t>TAUX MAIN D'OEUVRE - GARANTIE - VW - VEB</t>
  </si>
  <si>
    <t>267</t>
  </si>
  <si>
    <t>TAUX MAIN D'OEUVRE - INTERNE - VW - VEB</t>
  </si>
  <si>
    <t>268</t>
  </si>
  <si>
    <t>TAUX MAIN D'OEUVRE - BODY - VW - VEB</t>
  </si>
  <si>
    <t>269</t>
  </si>
  <si>
    <t>FPA recours coll</t>
  </si>
  <si>
    <t>_</t>
  </si>
  <si>
    <t>VW P&amp;A SVC BR - SVC RAPIDE - CLIENT - MCI</t>
  </si>
  <si>
    <t>ID BUZZ</t>
  </si>
  <si>
    <t>4145</t>
  </si>
  <si>
    <t>84137</t>
  </si>
  <si>
    <t>5145</t>
  </si>
  <si>
    <t>4145@</t>
  </si>
</sst>
</file>

<file path=xl/styles.xml><?xml version="1.0" encoding="utf-8"?>
<styleSheet xmlns="http://schemas.openxmlformats.org/spreadsheetml/2006/main" xmlns:mc="http://schemas.openxmlformats.org/markup-compatibility/2006" xmlns:x14ac="http://schemas.microsoft.com/office/spreadsheetml/2009/9/ac" mc:Ignorable="x14ac">
  <numFmts count="27">
    <numFmt numFmtId="6" formatCode="#,##0\ &quot;$&quot;_);[Red]\(#,##0\ &quot;$&quot;\)"/>
    <numFmt numFmtId="8" formatCode="#,##0.00\ &quot;$&quot;_);[Red]\(#,##0.00\ &quot;$&quot;\)"/>
    <numFmt numFmtId="41" formatCode="_ * #,##0_)\ _$_ ;_ * \(#,##0\)\ _$_ ;_ * &quot;-&quot;_)\ _$_ ;_ @_ "/>
    <numFmt numFmtId="44" formatCode="_ * #,##0.00_)\ &quot;$&quot;_ ;_ * \(#,##0.00\)\ &quot;$&quot;_ ;_ * &quot;-&quot;??_)\ &quot;$&quot;_ ;_ @_ "/>
    <numFmt numFmtId="43" formatCode="_ * #,##0.00_)\ _$_ ;_ * \(#,##0.00\)\ _$_ ;_ * &quot;-&quot;??_)\ _$_ ;_ @_ "/>
    <numFmt numFmtId="164" formatCode="&quot;$&quot;#,##0_);[Red]\(&quot;$&quot;#,##0\)"/>
    <numFmt numFmtId="165" formatCode="_(&quot;$&quot;* #,##0.00_);_(&quot;$&quot;* \(#,##0.00\);_(&quot;$&quot;* &quot;-&quot;??_);_(@_)"/>
    <numFmt numFmtId="166" formatCode="_(* #,##0.00_);_(* \(#,##0.00\);_(* &quot;-&quot;??_);_(@_)"/>
    <numFmt numFmtId="167" formatCode="_-&quot;$&quot;* #,##0.00_-;\-&quot;$&quot;* #,##0.00_-;_-&quot;$&quot;* &quot;-&quot;??_-;_-@_-"/>
    <numFmt numFmtId="168" formatCode="_-* #,##0.00_-;\-* #,##0.00_-;_-* &quot;-&quot;??_-;_-@_-"/>
    <numFmt numFmtId="169" formatCode="&quot;$&quot;#,##0"/>
    <numFmt numFmtId="170" formatCode="_-* #,##0\ _$_-;_-* #,##0\ _$\-;_-* &quot;-&quot;??\ _$_-;_-@"/>
    <numFmt numFmtId="171" formatCode="_(* #,##0_);_(* \(#,##0\);_(* &quot;-&quot;??_);_(@_)"/>
    <numFmt numFmtId="172" formatCode="dd\/mm\/yy_)"/>
    <numFmt numFmtId="173" formatCode="0_)"/>
    <numFmt numFmtId="174" formatCode="0.0%"/>
    <numFmt numFmtId="175" formatCode="0.00_)"/>
    <numFmt numFmtId="176" formatCode="d/m/yyyy"/>
    <numFmt numFmtId="177" formatCode="_ * #,##0_)\ _$_ ;_ * \(#,##0\)\ _$_ ;_ * &quot;-&quot;??_)\ _$_ ;_ @_ "/>
    <numFmt numFmtId="178" formatCode="0.00000000000000%"/>
    <numFmt numFmtId="179" formatCode="#,###.00;\-#,###.00;.00"/>
    <numFmt numFmtId="180" formatCode="[$-F400]h:mm:ss\ AM/PM"/>
    <numFmt numFmtId="181" formatCode="#.00;\-#.00;.00"/>
    <numFmt numFmtId="182" formatCode="_ * #,##0_)\ &quot;$&quot;_ ;_ * \(#,##0\)\ &quot;$&quot;_ ;_ * &quot;-&quot;??_)\ &quot;$&quot;_ ;_ @_ "/>
    <numFmt numFmtId="183" formatCode="#,###.00;\-#,###.00;.00;@"/>
    <numFmt numFmtId="184" formatCode="#;#;0;@"/>
    <numFmt numFmtId="185" formatCode="&quot;$&quot;#,##0.00"/>
  </numFmts>
  <fonts count="206">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
      <sz val="12"/>
      <color theme="1"/>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50">
    <xf numFmtId="0" fontId="0" fillId="0" borderId="0"/>
    <xf numFmtId="166" fontId="132" fillId="0" borderId="0" applyFont="0" applyFill="0" applyBorder="0" applyAlignment="0" applyProtection="0"/>
    <xf numFmtId="9" fontId="132" fillId="0" borderId="0" applyFont="0" applyFill="0" applyBorder="0" applyAlignment="0" applyProtection="0"/>
    <xf numFmtId="44" fontId="194" fillId="0" borderId="0" applyFont="0" applyFill="0" applyBorder="0" applyAlignment="0" applyProtection="0"/>
    <xf numFmtId="0" fontId="128" fillId="0" borderId="1"/>
    <xf numFmtId="168" fontId="128" fillId="0" borderId="1" applyFont="0" applyFill="0" applyBorder="0" applyAlignment="0" applyProtection="0"/>
    <xf numFmtId="0" fontId="127" fillId="0" borderId="1"/>
    <xf numFmtId="168" fontId="127" fillId="0" borderId="1" applyFont="0" applyFill="0" applyBorder="0" applyAlignment="0" applyProtection="0"/>
    <xf numFmtId="0" fontId="126" fillId="0" borderId="1"/>
    <xf numFmtId="168" fontId="126" fillId="0" borderId="1" applyFont="0" applyFill="0" applyBorder="0" applyAlignment="0" applyProtection="0"/>
    <xf numFmtId="0" fontId="125" fillId="0" borderId="1"/>
    <xf numFmtId="0" fontId="124" fillId="0" borderId="1"/>
    <xf numFmtId="168" fontId="124" fillId="0" borderId="1" applyFont="0" applyFill="0" applyBorder="0" applyAlignment="0" applyProtection="0"/>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168" fontId="123" fillId="0" borderId="1" applyFont="0" applyFill="0" applyBorder="0" applyAlignment="0" applyProtection="0"/>
    <xf numFmtId="0" fontId="123" fillId="0" borderId="1"/>
    <xf numFmtId="0" fontId="123" fillId="0" borderId="1"/>
    <xf numFmtId="168" fontId="123" fillId="0" borderId="1" applyFont="0" applyFill="0" applyBorder="0" applyAlignment="0" applyProtection="0"/>
    <xf numFmtId="44" fontId="123" fillId="0" borderId="1" applyFont="0" applyFill="0" applyBorder="0" applyAlignment="0" applyProtection="0"/>
    <xf numFmtId="0" fontId="122" fillId="0" borderId="1"/>
    <xf numFmtId="168" fontId="122" fillId="0" borderId="1" applyFont="0" applyFill="0" applyBorder="0" applyAlignment="0" applyProtection="0"/>
    <xf numFmtId="0" fontId="121" fillId="0" borderId="1"/>
    <xf numFmtId="168" fontId="121" fillId="0" borderId="1" applyFont="0" applyFill="0" applyBorder="0" applyAlignment="0" applyProtection="0"/>
    <xf numFmtId="0" fontId="120" fillId="0" borderId="1"/>
    <xf numFmtId="168" fontId="120" fillId="0" borderId="1" applyFont="0" applyFill="0" applyBorder="0" applyAlignment="0" applyProtection="0"/>
    <xf numFmtId="0" fontId="119" fillId="0" borderId="1"/>
    <xf numFmtId="168" fontId="119" fillId="0" borderId="1" applyFont="0" applyFill="0" applyBorder="0" applyAlignment="0" applyProtection="0"/>
    <xf numFmtId="0" fontId="118" fillId="0" borderId="1"/>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0" fontId="118" fillId="0" borderId="1"/>
    <xf numFmtId="168" fontId="118" fillId="0" borderId="1" applyFont="0" applyFill="0" applyBorder="0" applyAlignment="0" applyProtection="0"/>
    <xf numFmtId="44" fontId="118" fillId="0" borderId="1" applyFont="0" applyFill="0" applyBorder="0" applyAlignment="0" applyProtection="0"/>
    <xf numFmtId="0" fontId="117" fillId="0" borderId="1"/>
    <xf numFmtId="168" fontId="117" fillId="0" borderId="1" applyFont="0" applyFill="0" applyBorder="0" applyAlignment="0" applyProtection="0"/>
    <xf numFmtId="0" fontId="116" fillId="0" borderId="1"/>
    <xf numFmtId="168" fontId="116" fillId="0" borderId="1" applyFont="0" applyFill="0" applyBorder="0" applyAlignment="0" applyProtection="0"/>
    <xf numFmtId="0" fontId="115" fillId="0" borderId="1"/>
    <xf numFmtId="168" fontId="115" fillId="0" borderId="1" applyFont="0" applyFill="0" applyBorder="0" applyAlignment="0" applyProtection="0"/>
    <xf numFmtId="0" fontId="114" fillId="0" borderId="1"/>
    <xf numFmtId="168" fontId="114" fillId="0" borderId="1" applyFont="0" applyFill="0" applyBorder="0" applyAlignment="0" applyProtection="0"/>
    <xf numFmtId="0" fontId="113" fillId="0" borderId="1"/>
    <xf numFmtId="168" fontId="113" fillId="0" borderId="1" applyFont="0" applyFill="0" applyBorder="0" applyAlignment="0" applyProtection="0"/>
    <xf numFmtId="0" fontId="112" fillId="0" borderId="1"/>
    <xf numFmtId="168" fontId="112" fillId="0" borderId="1" applyFont="0" applyFill="0" applyBorder="0" applyAlignment="0" applyProtection="0"/>
    <xf numFmtId="0" fontId="111" fillId="0" borderId="1"/>
    <xf numFmtId="168" fontId="111"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0" fontId="110" fillId="0" borderId="1"/>
    <xf numFmtId="168" fontId="110" fillId="0" borderId="1" applyFont="0" applyFill="0" applyBorder="0" applyAlignment="0" applyProtection="0"/>
    <xf numFmtId="44" fontId="110" fillId="0" borderId="1" applyFont="0" applyFill="0" applyBorder="0" applyAlignment="0" applyProtection="0"/>
    <xf numFmtId="0" fontId="109" fillId="0" borderId="1"/>
    <xf numFmtId="168" fontId="109" fillId="0" borderId="1" applyFont="0" applyFill="0" applyBorder="0" applyAlignment="0" applyProtection="0"/>
    <xf numFmtId="0" fontId="108" fillId="0" borderId="1"/>
    <xf numFmtId="168" fontId="108" fillId="0" borderId="1" applyFont="0" applyFill="0" applyBorder="0" applyAlignment="0" applyProtection="0"/>
    <xf numFmtId="0" fontId="107" fillId="0" borderId="1"/>
    <xf numFmtId="168" fontId="107" fillId="0" borderId="1" applyFont="0" applyFill="0" applyBorder="0" applyAlignment="0" applyProtection="0"/>
    <xf numFmtId="0" fontId="106" fillId="0" borderId="1"/>
    <xf numFmtId="168" fontId="106" fillId="0" borderId="1" applyFont="0" applyFill="0" applyBorder="0" applyAlignment="0" applyProtection="0"/>
    <xf numFmtId="0" fontId="105" fillId="0" borderId="1"/>
    <xf numFmtId="168" fontId="105" fillId="0" borderId="1" applyFont="0" applyFill="0" applyBorder="0" applyAlignment="0" applyProtection="0"/>
    <xf numFmtId="0" fontId="104" fillId="0" borderId="1"/>
    <xf numFmtId="168" fontId="104" fillId="0" borderId="1" applyFont="0" applyFill="0" applyBorder="0" applyAlignment="0" applyProtection="0"/>
    <xf numFmtId="9"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44"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4" fillId="0" borderId="1"/>
    <xf numFmtId="168" fontId="104"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9"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44"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3" fillId="0" borderId="1"/>
    <xf numFmtId="168" fontId="103" fillId="0" borderId="1" applyFont="0" applyFill="0" applyBorder="0" applyAlignment="0" applyProtection="0"/>
    <xf numFmtId="0" fontId="102" fillId="0" borderId="1"/>
    <xf numFmtId="168" fontId="102" fillId="0" borderId="1" applyFont="0" applyFill="0" applyBorder="0" applyAlignment="0" applyProtection="0"/>
    <xf numFmtId="0" fontId="101" fillId="0" borderId="1"/>
    <xf numFmtId="168" fontId="101" fillId="0" borderId="1" applyFont="0" applyFill="0" applyBorder="0" applyAlignment="0" applyProtection="0"/>
    <xf numFmtId="0" fontId="100" fillId="0" borderId="1"/>
    <xf numFmtId="168" fontId="100" fillId="0" borderId="1" applyFont="0" applyFill="0" applyBorder="0" applyAlignment="0" applyProtection="0"/>
    <xf numFmtId="0" fontId="99" fillId="0" borderId="1"/>
    <xf numFmtId="168" fontId="99"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44"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0" fontId="98" fillId="0" borderId="1"/>
    <xf numFmtId="168" fontId="98" fillId="0" borderId="1" applyFont="0" applyFill="0" applyBorder="0" applyAlignment="0" applyProtection="0"/>
    <xf numFmtId="168" fontId="98" fillId="0" borderId="1" applyFont="0" applyFill="0" applyBorder="0" applyAlignment="0" applyProtection="0"/>
    <xf numFmtId="9" fontId="98" fillId="0" borderId="1" applyFont="0" applyFill="0" applyBorder="0" applyAlignment="0" applyProtection="0"/>
    <xf numFmtId="44" fontId="98" fillId="0" borderId="1" applyFont="0" applyFill="0" applyBorder="0" applyAlignment="0" applyProtection="0"/>
    <xf numFmtId="0" fontId="97" fillId="0" borderId="1"/>
    <xf numFmtId="168" fontId="97" fillId="0" borderId="1" applyFont="0" applyFill="0" applyBorder="0" applyAlignment="0" applyProtection="0"/>
    <xf numFmtId="0" fontId="96" fillId="0" borderId="1"/>
    <xf numFmtId="168" fontId="96" fillId="0" borderId="1" applyFont="0" applyFill="0" applyBorder="0" applyAlignment="0" applyProtection="0"/>
    <xf numFmtId="0" fontId="95" fillId="0" borderId="1"/>
    <xf numFmtId="168" fontId="95"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0" fontId="94" fillId="0" borderId="1"/>
    <xf numFmtId="168" fontId="94" fillId="0" borderId="1" applyFont="0" applyFill="0" applyBorder="0" applyAlignment="0" applyProtection="0"/>
    <xf numFmtId="168" fontId="94" fillId="0" borderId="1" applyFont="0" applyFill="0" applyBorder="0" applyAlignment="0" applyProtection="0"/>
    <xf numFmtId="9" fontId="94" fillId="0" borderId="1" applyFont="0" applyFill="0" applyBorder="0" applyAlignment="0" applyProtection="0"/>
    <xf numFmtId="44" fontId="94" fillId="0" borderId="1" applyFont="0" applyFill="0" applyBorder="0" applyAlignment="0" applyProtection="0"/>
    <xf numFmtId="0" fontId="93" fillId="0" borderId="1"/>
    <xf numFmtId="168" fontId="93" fillId="0" borderId="1" applyFont="0" applyFill="0" applyBorder="0" applyAlignment="0" applyProtection="0"/>
    <xf numFmtId="0" fontId="92" fillId="0" borderId="1"/>
    <xf numFmtId="168" fontId="92" fillId="0" borderId="1" applyFont="0" applyFill="0" applyBorder="0" applyAlignment="0" applyProtection="0"/>
    <xf numFmtId="0" fontId="91" fillId="0" borderId="1"/>
    <xf numFmtId="168" fontId="91"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168" fontId="90" fillId="0" borderId="1" applyFont="0" applyFill="0" applyBorder="0" applyAlignment="0" applyProtection="0"/>
    <xf numFmtId="9" fontId="90" fillId="0" borderId="1" applyFont="0" applyFill="0" applyBorder="0" applyAlignment="0" applyProtection="0"/>
    <xf numFmtId="44"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0" fontId="90" fillId="0" borderId="1"/>
    <xf numFmtId="168" fontId="90" fillId="0" borderId="1" applyFont="0" applyFill="0" applyBorder="0" applyAlignment="0" applyProtection="0"/>
    <xf numFmtId="44" fontId="90" fillId="0" borderId="1" applyFont="0" applyFill="0" applyBorder="0" applyAlignment="0" applyProtection="0"/>
    <xf numFmtId="0" fontId="89" fillId="0" borderId="1"/>
    <xf numFmtId="168" fontId="89" fillId="0" borderId="1" applyFont="0" applyFill="0" applyBorder="0" applyAlignment="0" applyProtection="0"/>
    <xf numFmtId="0" fontId="88" fillId="0" borderId="1"/>
    <xf numFmtId="168" fontId="88" fillId="0" borderId="1" applyFont="0" applyFill="0" applyBorder="0" applyAlignment="0" applyProtection="0"/>
    <xf numFmtId="0" fontId="87" fillId="0" borderId="1"/>
    <xf numFmtId="0" fontId="87" fillId="0" borderId="1"/>
    <xf numFmtId="9" fontId="87" fillId="0" borderId="1" applyFont="0" applyFill="0" applyBorder="0" applyAlignment="0" applyProtection="0"/>
    <xf numFmtId="165" fontId="87" fillId="0" borderId="1" applyFont="0" applyFill="0" applyBorder="0" applyAlignment="0" applyProtection="0"/>
    <xf numFmtId="0" fontId="86" fillId="0" borderId="1"/>
    <xf numFmtId="168" fontId="86" fillId="0" borderId="1" applyFont="0" applyFill="0" applyBorder="0" applyAlignment="0" applyProtection="0"/>
    <xf numFmtId="0" fontId="85" fillId="0" borderId="1"/>
    <xf numFmtId="0" fontId="84" fillId="0" borderId="1"/>
    <xf numFmtId="0" fontId="83" fillId="0" borderId="1"/>
    <xf numFmtId="0" fontId="82" fillId="0" borderId="1"/>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168" fontId="81" fillId="0" borderId="1" applyFont="0" applyFill="0" applyBorder="0" applyAlignment="0" applyProtection="0"/>
    <xf numFmtId="9"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44"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9" fontId="81" fillId="0" borderId="1" applyFont="0" applyFill="0" applyBorder="0" applyAlignment="0" applyProtection="0"/>
    <xf numFmtId="167" fontId="81" fillId="0" borderId="1" applyFont="0" applyFill="0" applyBorder="0" applyAlignment="0" applyProtection="0"/>
    <xf numFmtId="0" fontId="81" fillId="0" borderId="1"/>
    <xf numFmtId="168" fontId="81" fillId="0" borderId="1" applyFont="0" applyFill="0" applyBorder="0" applyAlignment="0" applyProtection="0"/>
    <xf numFmtId="0" fontId="81" fillId="0" borderId="1"/>
    <xf numFmtId="0" fontId="81" fillId="0" borderId="1"/>
    <xf numFmtId="0" fontId="81" fillId="0" borderId="1"/>
    <xf numFmtId="0" fontId="81" fillId="0" borderId="1"/>
    <xf numFmtId="0" fontId="204" fillId="0" borderId="0" applyNumberFormat="0" applyFill="0" applyBorder="0" applyAlignment="0" applyProtection="0"/>
    <xf numFmtId="0" fontId="80" fillId="0" borderId="1"/>
    <xf numFmtId="0" fontId="79" fillId="0" borderId="1"/>
    <xf numFmtId="0" fontId="78" fillId="0" borderId="1"/>
    <xf numFmtId="0" fontId="77" fillId="0" borderId="1"/>
    <xf numFmtId="0" fontId="76" fillId="0" borderId="1"/>
    <xf numFmtId="0" fontId="74" fillId="0" borderId="1"/>
    <xf numFmtId="0" fontId="73" fillId="0" borderId="1"/>
    <xf numFmtId="0" fontId="72" fillId="0" borderId="1"/>
    <xf numFmtId="0" fontId="70" fillId="0" borderId="1"/>
    <xf numFmtId="0" fontId="69" fillId="0" borderId="1"/>
    <xf numFmtId="0" fontId="68" fillId="0" borderId="1"/>
    <xf numFmtId="0" fontId="67" fillId="0" borderId="1"/>
    <xf numFmtId="0" fontId="66" fillId="0" borderId="1"/>
    <xf numFmtId="0" fontId="65" fillId="0" borderId="1"/>
    <xf numFmtId="0" fontId="64" fillId="0" borderId="1"/>
    <xf numFmtId="0" fontId="63"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4"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xf numFmtId="0" fontId="1" fillId="0" borderId="1"/>
  </cellStyleXfs>
  <cellXfs count="1262">
    <xf numFmtId="0" fontId="0" fillId="0" borderId="0" xfId="0"/>
    <xf numFmtId="0" fontId="129" fillId="0" borderId="0" xfId="0" applyFont="1"/>
    <xf numFmtId="0" fontId="130" fillId="2" borderId="1" xfId="0" applyFont="1" applyFill="1" applyBorder="1" applyAlignment="1">
      <alignment horizontal="center"/>
    </xf>
    <xf numFmtId="0" fontId="130" fillId="0" borderId="0" xfId="0" applyFont="1"/>
    <xf numFmtId="0" fontId="131" fillId="0" borderId="0" xfId="0" applyFont="1" applyAlignment="1">
      <alignment horizontal="center"/>
    </xf>
    <xf numFmtId="0" fontId="132" fillId="0" borderId="0" xfId="0" applyFont="1"/>
    <xf numFmtId="0" fontId="129" fillId="0" borderId="0" xfId="0" applyFont="1" applyAlignment="1">
      <alignment horizontal="center"/>
    </xf>
    <xf numFmtId="169" fontId="130" fillId="0" borderId="0" xfId="0" applyNumberFormat="1" applyFont="1" applyAlignment="1">
      <alignment horizontal="center"/>
    </xf>
    <xf numFmtId="0" fontId="133" fillId="0" borderId="0" xfId="0" applyFont="1" applyAlignment="1">
      <alignment horizontal="left"/>
    </xf>
    <xf numFmtId="0" fontId="134" fillId="0" borderId="0" xfId="0" applyFont="1" applyAlignment="1">
      <alignment horizontal="center"/>
    </xf>
    <xf numFmtId="0" fontId="134" fillId="0" borderId="0" xfId="0" applyFont="1" applyAlignment="1">
      <alignment horizontal="right"/>
    </xf>
    <xf numFmtId="0" fontId="133" fillId="0" borderId="0" xfId="0" applyFont="1"/>
    <xf numFmtId="0" fontId="130" fillId="0" borderId="2" xfId="0" applyFont="1" applyBorder="1"/>
    <xf numFmtId="0" fontId="135" fillId="0" borderId="3" xfId="0" applyFont="1" applyBorder="1"/>
    <xf numFmtId="41" fontId="135" fillId="0" borderId="4" xfId="0" applyNumberFormat="1" applyFont="1" applyBorder="1"/>
    <xf numFmtId="170" fontId="135" fillId="0" borderId="0" xfId="0" applyNumberFormat="1" applyFont="1"/>
    <xf numFmtId="170" fontId="135" fillId="0" borderId="5" xfId="0" applyNumberFormat="1" applyFont="1" applyBorder="1"/>
    <xf numFmtId="0" fontId="136" fillId="0" borderId="6" xfId="0" applyFont="1" applyBorder="1"/>
    <xf numFmtId="41" fontId="136" fillId="0" borderId="7" xfId="0" applyNumberFormat="1" applyFont="1" applyBorder="1"/>
    <xf numFmtId="170" fontId="136" fillId="0" borderId="0" xfId="0" applyNumberFormat="1" applyFont="1"/>
    <xf numFmtId="0" fontId="135" fillId="0" borderId="8" xfId="0" applyFont="1" applyBorder="1"/>
    <xf numFmtId="41" fontId="135" fillId="0" borderId="9" xfId="0" applyNumberFormat="1" applyFont="1" applyBorder="1"/>
    <xf numFmtId="0" fontId="136" fillId="0" borderId="8" xfId="0" applyFont="1" applyBorder="1"/>
    <xf numFmtId="0" fontId="136" fillId="3" borderId="10" xfId="0" applyFont="1" applyFill="1" applyBorder="1"/>
    <xf numFmtId="41" fontId="136" fillId="3" borderId="11" xfId="0" applyNumberFormat="1" applyFont="1" applyFill="1" applyBorder="1"/>
    <xf numFmtId="0" fontId="136" fillId="3" borderId="12" xfId="0" applyFont="1" applyFill="1" applyBorder="1"/>
    <xf numFmtId="41" fontId="136" fillId="3" borderId="13" xfId="0" applyNumberFormat="1" applyFont="1" applyFill="1" applyBorder="1"/>
    <xf numFmtId="0" fontId="136" fillId="0" borderId="0" xfId="0" applyFont="1"/>
    <xf numFmtId="41" fontId="135" fillId="0" borderId="7" xfId="0" applyNumberFormat="1" applyFont="1" applyBorder="1"/>
    <xf numFmtId="170" fontId="130" fillId="0" borderId="0" xfId="0" applyNumberFormat="1" applyFont="1"/>
    <xf numFmtId="0" fontId="130" fillId="0" borderId="8" xfId="0" applyFont="1" applyBorder="1"/>
    <xf numFmtId="41" fontId="130" fillId="0" borderId="9" xfId="0" applyNumberFormat="1" applyFont="1" applyBorder="1"/>
    <xf numFmtId="171" fontId="130" fillId="0" borderId="0" xfId="0" applyNumberFormat="1" applyFont="1"/>
    <xf numFmtId="0" fontId="130" fillId="0" borderId="0" xfId="0" applyFont="1" applyAlignment="1">
      <alignment horizontal="center"/>
    </xf>
    <xf numFmtId="0" fontId="138" fillId="0" borderId="0" xfId="0" applyFont="1" applyAlignment="1">
      <alignment horizontal="center"/>
    </xf>
    <xf numFmtId="0" fontId="134" fillId="4" borderId="15" xfId="0" applyFont="1" applyFill="1" applyBorder="1" applyAlignment="1">
      <alignment horizontal="center"/>
    </xf>
    <xf numFmtId="0" fontId="134" fillId="0" borderId="0" xfId="0" applyFont="1"/>
    <xf numFmtId="172" fontId="139" fillId="0" borderId="0" xfId="0" applyNumberFormat="1" applyFont="1" applyAlignment="1">
      <alignment horizontal="left"/>
    </xf>
    <xf numFmtId="0" fontId="139" fillId="0" borderId="0" xfId="0" applyFont="1"/>
    <xf numFmtId="0" fontId="140" fillId="0" borderId="0" xfId="0" applyFont="1" applyAlignment="1">
      <alignment horizontal="center"/>
    </xf>
    <xf numFmtId="0" fontId="133" fillId="5" borderId="16" xfId="0" applyFont="1" applyFill="1" applyBorder="1" applyAlignment="1">
      <alignment horizontal="center"/>
    </xf>
    <xf numFmtId="0" fontId="140" fillId="0" borderId="0" xfId="0" applyFont="1"/>
    <xf numFmtId="0" fontId="140" fillId="5" borderId="19" xfId="0" applyFont="1" applyFill="1" applyBorder="1"/>
    <xf numFmtId="0" fontId="140" fillId="5" borderId="22" xfId="0" applyFont="1" applyFill="1" applyBorder="1"/>
    <xf numFmtId="0" fontId="140" fillId="5" borderId="20" xfId="0" applyFont="1" applyFill="1" applyBorder="1"/>
    <xf numFmtId="0" fontId="133" fillId="5" borderId="19" xfId="0" applyFont="1" applyFill="1" applyBorder="1"/>
    <xf numFmtId="0" fontId="133" fillId="5" borderId="22" xfId="0" applyFont="1" applyFill="1" applyBorder="1"/>
    <xf numFmtId="0" fontId="133" fillId="5" borderId="20" xfId="0" applyFont="1" applyFill="1" applyBorder="1"/>
    <xf numFmtId="0" fontId="140" fillId="5" borderId="1" xfId="0" applyFont="1" applyFill="1" applyBorder="1"/>
    <xf numFmtId="0" fontId="133" fillId="5" borderId="10" xfId="0" applyFont="1" applyFill="1" applyBorder="1"/>
    <xf numFmtId="0" fontId="133" fillId="5" borderId="12" xfId="0" applyFont="1" applyFill="1" applyBorder="1"/>
    <xf numFmtId="0" fontId="133" fillId="5" borderId="1" xfId="0" applyFont="1" applyFill="1" applyBorder="1"/>
    <xf numFmtId="0" fontId="133" fillId="5" borderId="20" xfId="0" applyFont="1" applyFill="1" applyBorder="1" applyAlignment="1">
      <alignment horizontal="left"/>
    </xf>
    <xf numFmtId="0" fontId="133" fillId="5" borderId="28" xfId="0" applyFont="1" applyFill="1" applyBorder="1"/>
    <xf numFmtId="0" fontId="141" fillId="5" borderId="20" xfId="0" applyFont="1" applyFill="1" applyBorder="1"/>
    <xf numFmtId="0" fontId="141" fillId="5" borderId="22" xfId="0" applyFont="1" applyFill="1" applyBorder="1"/>
    <xf numFmtId="0" fontId="133" fillId="5" borderId="31" xfId="0" applyFont="1" applyFill="1" applyBorder="1"/>
    <xf numFmtId="0" fontId="133" fillId="5" borderId="32" xfId="0" applyFont="1" applyFill="1" applyBorder="1"/>
    <xf numFmtId="0" fontId="142" fillId="5" borderId="1" xfId="0" applyFont="1" applyFill="1" applyBorder="1"/>
    <xf numFmtId="0" fontId="142" fillId="0" borderId="0" xfId="0" applyFont="1"/>
    <xf numFmtId="0" fontId="139" fillId="5" borderId="1" xfId="0" applyFont="1" applyFill="1" applyBorder="1"/>
    <xf numFmtId="0" fontId="134" fillId="5" borderId="1" xfId="0" applyFont="1" applyFill="1" applyBorder="1"/>
    <xf numFmtId="172" fontId="139" fillId="5" borderId="1" xfId="0" applyNumberFormat="1" applyFont="1" applyFill="1" applyBorder="1" applyAlignment="1">
      <alignment horizontal="left"/>
    </xf>
    <xf numFmtId="0" fontId="141" fillId="5" borderId="19" xfId="0" applyFont="1" applyFill="1" applyBorder="1"/>
    <xf numFmtId="0" fontId="133" fillId="5" borderId="33" xfId="0" applyFont="1" applyFill="1" applyBorder="1"/>
    <xf numFmtId="0" fontId="133" fillId="5" borderId="34" xfId="0" applyFont="1" applyFill="1" applyBorder="1"/>
    <xf numFmtId="0" fontId="133" fillId="5" borderId="37" xfId="0" applyFont="1" applyFill="1" applyBorder="1"/>
    <xf numFmtId="0" fontId="143" fillId="5" borderId="1" xfId="0" applyFont="1" applyFill="1" applyBorder="1" applyAlignment="1">
      <alignment horizontal="center" vertical="center"/>
    </xf>
    <xf numFmtId="0" fontId="143" fillId="5" borderId="22" xfId="0" applyFont="1" applyFill="1" applyBorder="1"/>
    <xf numFmtId="0" fontId="143" fillId="5" borderId="20" xfId="0" applyFont="1" applyFill="1" applyBorder="1"/>
    <xf numFmtId="0" fontId="143" fillId="5" borderId="28" xfId="0" applyFont="1" applyFill="1" applyBorder="1"/>
    <xf numFmtId="0" fontId="143" fillId="5" borderId="19" xfId="0" applyFont="1" applyFill="1" applyBorder="1"/>
    <xf numFmtId="0" fontId="143" fillId="5" borderId="37" xfId="0" applyFont="1" applyFill="1" applyBorder="1"/>
    <xf numFmtId="0" fontId="143" fillId="5" borderId="40" xfId="0" applyFont="1" applyFill="1" applyBorder="1"/>
    <xf numFmtId="0" fontId="139" fillId="5" borderId="41" xfId="0" applyFont="1" applyFill="1" applyBorder="1"/>
    <xf numFmtId="0" fontId="141" fillId="5" borderId="41" xfId="0" applyFont="1" applyFill="1" applyBorder="1"/>
    <xf numFmtId="0" fontId="140" fillId="5" borderId="41" xfId="0" applyFont="1" applyFill="1" applyBorder="1"/>
    <xf numFmtId="0" fontId="140" fillId="5" borderId="42" xfId="0" applyFont="1" applyFill="1" applyBorder="1"/>
    <xf numFmtId="0" fontId="143" fillId="5" borderId="43" xfId="0" applyFont="1" applyFill="1" applyBorder="1"/>
    <xf numFmtId="0" fontId="144" fillId="6" borderId="1" xfId="0" applyFont="1" applyFill="1" applyBorder="1"/>
    <xf numFmtId="0" fontId="139" fillId="6" borderId="1" xfId="0" applyFont="1" applyFill="1" applyBorder="1"/>
    <xf numFmtId="0" fontId="145" fillId="6" borderId="1" xfId="0" applyFont="1" applyFill="1" applyBorder="1"/>
    <xf numFmtId="0" fontId="146" fillId="6" borderId="1" xfId="0" applyFont="1" applyFill="1" applyBorder="1" applyAlignment="1">
      <alignment horizontal="center" vertical="center"/>
    </xf>
    <xf numFmtId="0" fontId="139" fillId="6" borderId="1" xfId="0" applyFont="1" applyFill="1" applyBorder="1" applyAlignment="1">
      <alignment horizontal="center" vertical="center"/>
    </xf>
    <xf numFmtId="0" fontId="144" fillId="6" borderId="1" xfId="0" applyFont="1" applyFill="1" applyBorder="1" applyAlignment="1">
      <alignment horizontal="center"/>
    </xf>
    <xf numFmtId="0" fontId="139" fillId="6" borderId="1" xfId="0" applyFont="1" applyFill="1" applyBorder="1" applyAlignment="1">
      <alignment horizontal="center"/>
    </xf>
    <xf numFmtId="0" fontId="147" fillId="6" borderId="1" xfId="0" applyFont="1" applyFill="1" applyBorder="1" applyAlignment="1">
      <alignment horizontal="center"/>
    </xf>
    <xf numFmtId="174" fontId="139" fillId="6" borderId="1" xfId="0" applyNumberFormat="1" applyFont="1" applyFill="1" applyBorder="1"/>
    <xf numFmtId="37" fontId="139" fillId="6" borderId="1" xfId="0" applyNumberFormat="1" applyFont="1" applyFill="1" applyBorder="1"/>
    <xf numFmtId="174" fontId="144" fillId="6" borderId="1" xfId="0" applyNumberFormat="1" applyFont="1" applyFill="1" applyBorder="1"/>
    <xf numFmtId="37" fontId="144" fillId="6" borderId="1" xfId="0" applyNumberFormat="1" applyFont="1" applyFill="1" applyBorder="1"/>
    <xf numFmtId="0" fontId="148" fillId="6" borderId="1" xfId="0" applyFont="1" applyFill="1" applyBorder="1"/>
    <xf numFmtId="0" fontId="147" fillId="6" borderId="1" xfId="0" applyFont="1" applyFill="1" applyBorder="1" applyAlignment="1">
      <alignment horizontal="left"/>
    </xf>
    <xf numFmtId="0" fontId="149" fillId="6" borderId="1" xfId="0" applyFont="1" applyFill="1" applyBorder="1"/>
    <xf numFmtId="37" fontId="139" fillId="0" borderId="0" xfId="0" applyNumberFormat="1" applyFont="1"/>
    <xf numFmtId="0" fontId="150" fillId="0" borderId="0" xfId="0" applyFont="1"/>
    <xf numFmtId="0" fontId="151" fillId="0" borderId="0" xfId="0" applyFont="1"/>
    <xf numFmtId="0" fontId="152" fillId="0" borderId="0" xfId="0" applyFont="1" applyAlignment="1">
      <alignment horizontal="center"/>
    </xf>
    <xf numFmtId="0" fontId="129" fillId="7" borderId="1" xfId="0" applyFont="1" applyFill="1" applyBorder="1" applyAlignment="1">
      <alignment horizontal="center"/>
    </xf>
    <xf numFmtId="0" fontId="129" fillId="8" borderId="45" xfId="0" applyFont="1" applyFill="1" applyBorder="1" applyAlignment="1">
      <alignment horizontal="center" vertical="center" wrapText="1"/>
    </xf>
    <xf numFmtId="0" fontId="129" fillId="8" borderId="46" xfId="0" applyFont="1" applyFill="1" applyBorder="1" applyAlignment="1">
      <alignment horizontal="center" vertical="center" wrapText="1"/>
    </xf>
    <xf numFmtId="0" fontId="129" fillId="8" borderId="47" xfId="0" applyFont="1" applyFill="1" applyBorder="1" applyAlignment="1">
      <alignment horizontal="center" vertical="center" wrapText="1"/>
    </xf>
    <xf numFmtId="0" fontId="129" fillId="8" borderId="48" xfId="0" applyFont="1" applyFill="1" applyBorder="1" applyAlignment="1">
      <alignment horizontal="center" vertical="center" wrapText="1"/>
    </xf>
    <xf numFmtId="169" fontId="153" fillId="9" borderId="52" xfId="0" applyNumberFormat="1" applyFont="1" applyFill="1" applyBorder="1" applyAlignment="1">
      <alignment horizontal="center" vertical="center"/>
    </xf>
    <xf numFmtId="169" fontId="153" fillId="9" borderId="53" xfId="0" applyNumberFormat="1" applyFont="1" applyFill="1" applyBorder="1" applyAlignment="1">
      <alignment horizontal="center" vertical="center"/>
    </xf>
    <xf numFmtId="3" fontId="129" fillId="9" borderId="52" xfId="0" applyNumberFormat="1" applyFont="1" applyFill="1" applyBorder="1" applyAlignment="1">
      <alignment horizontal="center" vertical="center"/>
    </xf>
    <xf numFmtId="3" fontId="129" fillId="9" borderId="53" xfId="0" applyNumberFormat="1" applyFont="1" applyFill="1" applyBorder="1" applyAlignment="1">
      <alignment horizontal="center" vertical="center"/>
    </xf>
    <xf numFmtId="0" fontId="130" fillId="9" borderId="54" xfId="0" applyFont="1" applyFill="1" applyBorder="1" applyAlignment="1">
      <alignment wrapText="1"/>
    </xf>
    <xf numFmtId="0" fontId="130" fillId="0" borderId="44" xfId="0" applyFont="1" applyBorder="1" applyAlignment="1">
      <alignment horizontal="center" vertical="center" wrapText="1"/>
    </xf>
    <xf numFmtId="0" fontId="130" fillId="0" borderId="44" xfId="0" applyFont="1" applyBorder="1" applyAlignment="1">
      <alignment horizontal="center" vertical="center"/>
    </xf>
    <xf numFmtId="0" fontId="130" fillId="0" borderId="55" xfId="0" applyFont="1" applyBorder="1" applyAlignment="1">
      <alignment horizontal="left" vertical="center" wrapText="1"/>
    </xf>
    <xf numFmtId="37" fontId="130" fillId="0" borderId="0" xfId="0" applyNumberFormat="1" applyFont="1" applyAlignment="1">
      <alignment horizontal="center" vertical="center"/>
    </xf>
    <xf numFmtId="37" fontId="130" fillId="0" borderId="56" xfId="0" applyNumberFormat="1" applyFont="1" applyBorder="1" applyAlignment="1">
      <alignment horizontal="center" vertical="center"/>
    </xf>
    <xf numFmtId="0" fontId="130" fillId="0" borderId="57" xfId="0" applyFont="1" applyBorder="1" applyAlignment="1">
      <alignment horizontal="center" vertical="center" wrapText="1"/>
    </xf>
    <xf numFmtId="0" fontId="130" fillId="0" borderId="57" xfId="0" applyFont="1" applyBorder="1" applyAlignment="1">
      <alignment horizontal="center" vertical="center"/>
    </xf>
    <xf numFmtId="0" fontId="130" fillId="0" borderId="56" xfId="0" applyFont="1" applyBorder="1" applyAlignment="1">
      <alignment horizontal="left" vertical="center" wrapText="1"/>
    </xf>
    <xf numFmtId="0" fontId="130" fillId="0" borderId="55" xfId="0" applyFont="1" applyBorder="1" applyAlignment="1">
      <alignment horizontal="center" vertical="center" wrapText="1"/>
    </xf>
    <xf numFmtId="0" fontId="130" fillId="0" borderId="56" xfId="0" applyFont="1" applyBorder="1" applyAlignment="1">
      <alignment horizontal="center" vertical="center" wrapText="1"/>
    </xf>
    <xf numFmtId="0" fontId="130" fillId="0" borderId="49" xfId="0" applyFont="1" applyBorder="1" applyAlignment="1">
      <alignment horizontal="center" vertical="center" wrapText="1"/>
    </xf>
    <xf numFmtId="0" fontId="130" fillId="0" borderId="49" xfId="0" applyFont="1" applyBorder="1" applyAlignment="1">
      <alignment horizontal="center" vertical="center"/>
    </xf>
    <xf numFmtId="0" fontId="130" fillId="0" borderId="58" xfId="0" applyFont="1" applyBorder="1" applyAlignment="1">
      <alignment horizontal="center" vertical="center" wrapText="1"/>
    </xf>
    <xf numFmtId="0" fontId="130" fillId="0" borderId="59" xfId="0" applyFont="1" applyBorder="1" applyAlignment="1">
      <alignment horizontal="center" vertical="center" wrapText="1"/>
    </xf>
    <xf numFmtId="37" fontId="130" fillId="0" borderId="58" xfId="0" applyNumberFormat="1" applyFont="1" applyBorder="1" applyAlignment="1">
      <alignment horizontal="center" vertical="center"/>
    </xf>
    <xf numFmtId="37" fontId="130" fillId="0" borderId="60" xfId="0" applyNumberFormat="1" applyFont="1" applyBorder="1" applyAlignment="1">
      <alignment horizontal="center" vertical="center"/>
    </xf>
    <xf numFmtId="0" fontId="130" fillId="0" borderId="0" xfId="0" applyFont="1" applyAlignment="1">
      <alignment wrapText="1"/>
    </xf>
    <xf numFmtId="0" fontId="130" fillId="0" borderId="0" xfId="0" applyFont="1" applyAlignment="1">
      <alignment horizontal="center" wrapText="1"/>
    </xf>
    <xf numFmtId="0" fontId="130" fillId="0" borderId="0" xfId="0" applyFont="1" applyAlignment="1">
      <alignment horizontal="right"/>
    </xf>
    <xf numFmtId="166" fontId="130" fillId="0" borderId="0" xfId="0" applyNumberFormat="1" applyFont="1" applyAlignment="1">
      <alignment horizontal="center"/>
    </xf>
    <xf numFmtId="0" fontId="130" fillId="0" borderId="61" xfId="0" applyFont="1" applyBorder="1" applyAlignment="1">
      <alignment horizontal="right" vertical="center"/>
    </xf>
    <xf numFmtId="0" fontId="130" fillId="0" borderId="61" xfId="0" applyFont="1" applyBorder="1" applyAlignment="1">
      <alignment vertical="center"/>
    </xf>
    <xf numFmtId="0" fontId="130" fillId="7" borderId="61" xfId="0" applyFont="1" applyFill="1" applyBorder="1" applyAlignment="1">
      <alignment horizontal="right" vertical="center" wrapText="1"/>
    </xf>
    <xf numFmtId="0" fontId="130" fillId="0" borderId="61" xfId="0" applyFont="1" applyBorder="1" applyAlignment="1">
      <alignment horizontal="center" vertical="center"/>
    </xf>
    <xf numFmtId="0" fontId="130" fillId="0" borderId="61" xfId="0" applyFont="1" applyBorder="1" applyAlignment="1">
      <alignment horizontal="center" vertical="center" wrapText="1"/>
    </xf>
    <xf numFmtId="0" fontId="130" fillId="0" borderId="0" xfId="0" applyFont="1" applyAlignment="1">
      <alignment horizontal="left"/>
    </xf>
    <xf numFmtId="166" fontId="130" fillId="0" borderId="0" xfId="0" applyNumberFormat="1" applyFont="1"/>
    <xf numFmtId="166" fontId="130" fillId="0" borderId="62" xfId="0" applyNumberFormat="1" applyFont="1" applyBorder="1"/>
    <xf numFmtId="166" fontId="130" fillId="0" borderId="63" xfId="0" applyNumberFormat="1" applyFont="1" applyBorder="1"/>
    <xf numFmtId="43" fontId="130" fillId="0" borderId="64" xfId="0" applyNumberFormat="1" applyFont="1" applyBorder="1"/>
    <xf numFmtId="0" fontId="131" fillId="0" borderId="0" xfId="0" applyFont="1"/>
    <xf numFmtId="176" fontId="131" fillId="0" borderId="0" xfId="0" applyNumberFormat="1" applyFont="1" applyAlignment="1">
      <alignment horizontal="left"/>
    </xf>
    <xf numFmtId="0" fontId="155" fillId="0" borderId="0" xfId="0" applyFont="1" applyAlignment="1">
      <alignment horizontal="center"/>
    </xf>
    <xf numFmtId="49" fontId="131" fillId="0" borderId="0" xfId="0" applyNumberFormat="1" applyFont="1" applyAlignment="1">
      <alignment horizontal="center" vertical="center"/>
    </xf>
    <xf numFmtId="171" fontId="131" fillId="10" borderId="1" xfId="0" applyNumberFormat="1" applyFont="1" applyFill="1" applyBorder="1" applyAlignment="1">
      <alignment horizontal="center" vertical="center"/>
    </xf>
    <xf numFmtId="171" fontId="131" fillId="10" borderId="1" xfId="0" applyNumberFormat="1" applyFont="1" applyFill="1" applyBorder="1" applyAlignment="1">
      <alignment horizontal="center"/>
    </xf>
    <xf numFmtId="174" fontId="131" fillId="0" borderId="0" xfId="0" applyNumberFormat="1" applyFont="1" applyAlignment="1">
      <alignment horizontal="center"/>
    </xf>
    <xf numFmtId="171" fontId="131" fillId="0" borderId="0" xfId="0" applyNumberFormat="1" applyFont="1"/>
    <xf numFmtId="166" fontId="131" fillId="0" borderId="0" xfId="0" applyNumberFormat="1" applyFont="1" applyAlignment="1">
      <alignment horizontal="center"/>
    </xf>
    <xf numFmtId="166" fontId="131" fillId="0" borderId="0" xfId="0" applyNumberFormat="1" applyFont="1"/>
    <xf numFmtId="0" fontId="131" fillId="11" borderId="1" xfId="0" applyFont="1" applyFill="1" applyBorder="1" applyAlignment="1">
      <alignment horizontal="center"/>
    </xf>
    <xf numFmtId="177" fontId="131" fillId="0" borderId="0" xfId="0" applyNumberFormat="1" applyFont="1"/>
    <xf numFmtId="165" fontId="131" fillId="0" borderId="0" xfId="0" applyNumberFormat="1" applyFont="1"/>
    <xf numFmtId="0" fontId="131" fillId="11" borderId="1" xfId="0" applyFont="1" applyFill="1" applyBorder="1" applyAlignment="1">
      <alignment horizontal="right"/>
    </xf>
    <xf numFmtId="166" fontId="131" fillId="11" borderId="1" xfId="0" applyNumberFormat="1" applyFont="1" applyFill="1" applyBorder="1"/>
    <xf numFmtId="0" fontId="131" fillId="10" borderId="1" xfId="0" applyFont="1" applyFill="1" applyBorder="1"/>
    <xf numFmtId="0" fontId="129" fillId="12" borderId="61" xfId="0" applyFont="1" applyFill="1" applyBorder="1" applyAlignment="1">
      <alignment horizontal="center"/>
    </xf>
    <xf numFmtId="0" fontId="129" fillId="12" borderId="65" xfId="0" applyFont="1" applyFill="1" applyBorder="1" applyAlignment="1">
      <alignment horizontal="center"/>
    </xf>
    <xf numFmtId="0" fontId="129" fillId="12" borderId="66" xfId="0" applyFont="1" applyFill="1" applyBorder="1" applyAlignment="1">
      <alignment horizontal="center"/>
    </xf>
    <xf numFmtId="0" fontId="129" fillId="12" borderId="67" xfId="0" applyFont="1" applyFill="1" applyBorder="1" applyAlignment="1">
      <alignment horizontal="center"/>
    </xf>
    <xf numFmtId="0" fontId="129" fillId="12" borderId="68" xfId="0" applyFont="1" applyFill="1" applyBorder="1" applyAlignment="1">
      <alignment horizontal="center"/>
    </xf>
    <xf numFmtId="0" fontId="129" fillId="0" borderId="69" xfId="0" applyFont="1" applyBorder="1"/>
    <xf numFmtId="37" fontId="129" fillId="0" borderId="70" xfId="0" applyNumberFormat="1" applyFont="1" applyBorder="1" applyAlignment="1">
      <alignment horizontal="center"/>
    </xf>
    <xf numFmtId="1" fontId="129" fillId="0" borderId="72" xfId="0" applyNumberFormat="1" applyFont="1" applyBorder="1" applyAlignment="1">
      <alignment horizontal="center"/>
    </xf>
    <xf numFmtId="1" fontId="129" fillId="0" borderId="73" xfId="0" applyNumberFormat="1" applyFont="1" applyBorder="1" applyAlignment="1">
      <alignment horizontal="center"/>
    </xf>
    <xf numFmtId="9" fontId="129" fillId="0" borderId="74" xfId="0" applyNumberFormat="1" applyFont="1" applyBorder="1" applyAlignment="1">
      <alignment horizontal="center"/>
    </xf>
    <xf numFmtId="9" fontId="129" fillId="0" borderId="75" xfId="0" applyNumberFormat="1" applyFont="1" applyBorder="1" applyAlignment="1">
      <alignment horizontal="center"/>
    </xf>
    <xf numFmtId="0" fontId="130" fillId="0" borderId="69" xfId="0" applyFont="1" applyBorder="1"/>
    <xf numFmtId="169" fontId="130" fillId="0" borderId="70" xfId="0" applyNumberFormat="1" applyFont="1" applyBorder="1" applyAlignment="1">
      <alignment horizontal="center"/>
    </xf>
    <xf numFmtId="169" fontId="130" fillId="0" borderId="72" xfId="0" applyNumberFormat="1" applyFont="1" applyBorder="1" applyAlignment="1">
      <alignment horizontal="center"/>
    </xf>
    <xf numFmtId="169" fontId="130" fillId="0" borderId="73" xfId="0" applyNumberFormat="1" applyFont="1" applyBorder="1" applyAlignment="1">
      <alignment horizontal="center"/>
    </xf>
    <xf numFmtId="9" fontId="130" fillId="0" borderId="70" xfId="0" applyNumberFormat="1" applyFont="1" applyBorder="1" applyAlignment="1">
      <alignment horizontal="center"/>
    </xf>
    <xf numFmtId="9" fontId="130" fillId="0" borderId="72" xfId="0" applyNumberFormat="1" applyFont="1" applyBorder="1" applyAlignment="1">
      <alignment horizontal="center"/>
    </xf>
    <xf numFmtId="9" fontId="130" fillId="0" borderId="77" xfId="0" applyNumberFormat="1" applyFont="1" applyBorder="1" applyAlignment="1">
      <alignment horizontal="center"/>
    </xf>
    <xf numFmtId="2" fontId="130" fillId="0" borderId="72" xfId="0" applyNumberFormat="1" applyFont="1" applyBorder="1" applyAlignment="1">
      <alignment horizontal="center"/>
    </xf>
    <xf numFmtId="2" fontId="130" fillId="0" borderId="73" xfId="0" applyNumberFormat="1" applyFont="1" applyBorder="1" applyAlignment="1">
      <alignment horizontal="center"/>
    </xf>
    <xf numFmtId="9" fontId="130" fillId="0" borderId="73" xfId="0" applyNumberFormat="1" applyFont="1" applyBorder="1" applyAlignment="1">
      <alignment horizontal="center"/>
    </xf>
    <xf numFmtId="0" fontId="129" fillId="0" borderId="78" xfId="0" applyFont="1" applyBorder="1"/>
    <xf numFmtId="0" fontId="130" fillId="0" borderId="79" xfId="0" applyFont="1" applyBorder="1"/>
    <xf numFmtId="169" fontId="130" fillId="0" borderId="80" xfId="0" applyNumberFormat="1" applyFont="1" applyBorder="1" applyAlignment="1">
      <alignment horizontal="center"/>
    </xf>
    <xf numFmtId="169" fontId="130" fillId="0" borderId="81" xfId="0" applyNumberFormat="1" applyFont="1" applyBorder="1" applyAlignment="1">
      <alignment horizontal="center"/>
    </xf>
    <xf numFmtId="9" fontId="130" fillId="0" borderId="80" xfId="0" applyNumberFormat="1" applyFont="1" applyBorder="1" applyAlignment="1">
      <alignment horizontal="center"/>
    </xf>
    <xf numFmtId="9" fontId="130" fillId="0" borderId="82" xfId="0" applyNumberFormat="1" applyFont="1" applyBorder="1" applyAlignment="1">
      <alignment horizontal="center"/>
    </xf>
    <xf numFmtId="0" fontId="130" fillId="0" borderId="69" xfId="0" applyFont="1" applyBorder="1" applyAlignment="1">
      <alignment horizontal="left"/>
    </xf>
    <xf numFmtId="0" fontId="130" fillId="0" borderId="70" xfId="0" applyFont="1" applyBorder="1" applyAlignment="1">
      <alignment horizontal="center"/>
    </xf>
    <xf numFmtId="0" fontId="130" fillId="0" borderId="83" xfId="0" applyFont="1" applyBorder="1" applyAlignment="1">
      <alignment horizontal="left"/>
    </xf>
    <xf numFmtId="169" fontId="130" fillId="0" borderId="84" xfId="0" applyNumberFormat="1" applyFont="1" applyBorder="1" applyAlignment="1">
      <alignment horizontal="center"/>
    </xf>
    <xf numFmtId="169" fontId="130" fillId="0" borderId="86" xfId="0" applyNumberFormat="1" applyFont="1" applyBorder="1" applyAlignment="1">
      <alignment horizontal="center"/>
    </xf>
    <xf numFmtId="169" fontId="130" fillId="0" borderId="87" xfId="0" applyNumberFormat="1" applyFont="1" applyBorder="1" applyAlignment="1">
      <alignment horizontal="center"/>
    </xf>
    <xf numFmtId="9" fontId="130" fillId="0" borderId="86" xfId="0" applyNumberFormat="1" applyFont="1" applyBorder="1" applyAlignment="1">
      <alignment horizontal="center"/>
    </xf>
    <xf numFmtId="9" fontId="130" fillId="0" borderId="88" xfId="0" applyNumberFormat="1" applyFont="1" applyBorder="1" applyAlignment="1">
      <alignment horizontal="center"/>
    </xf>
    <xf numFmtId="169" fontId="130" fillId="0" borderId="0" xfId="0" applyNumberFormat="1" applyFont="1"/>
    <xf numFmtId="0" fontId="129" fillId="14" borderId="61" xfId="0" applyFont="1" applyFill="1" applyBorder="1" applyAlignment="1">
      <alignment horizontal="center"/>
    </xf>
    <xf numFmtId="0" fontId="129" fillId="14" borderId="65" xfId="0" applyFont="1" applyFill="1" applyBorder="1" applyAlignment="1">
      <alignment horizontal="center"/>
    </xf>
    <xf numFmtId="0" fontId="129" fillId="14" borderId="66" xfId="0" applyFont="1" applyFill="1" applyBorder="1" applyAlignment="1">
      <alignment horizontal="center"/>
    </xf>
    <xf numFmtId="0" fontId="129" fillId="14" borderId="68" xfId="0" applyFont="1" applyFill="1" applyBorder="1" applyAlignment="1">
      <alignment horizontal="center"/>
    </xf>
    <xf numFmtId="0" fontId="129" fillId="15" borderId="61" xfId="0" applyFont="1" applyFill="1" applyBorder="1" applyAlignment="1">
      <alignment horizontal="center"/>
    </xf>
    <xf numFmtId="177" fontId="130" fillId="0" borderId="70" xfId="0" applyNumberFormat="1" applyFont="1" applyBorder="1" applyAlignment="1">
      <alignment horizontal="center"/>
    </xf>
    <xf numFmtId="0" fontId="129" fillId="9" borderId="61" xfId="0" applyFont="1" applyFill="1" applyBorder="1" applyAlignment="1">
      <alignment horizontal="center"/>
    </xf>
    <xf numFmtId="0" fontId="129" fillId="9" borderId="65" xfId="0" applyFont="1" applyFill="1" applyBorder="1" applyAlignment="1">
      <alignment horizontal="center"/>
    </xf>
    <xf numFmtId="0" fontId="129" fillId="9" borderId="66" xfId="0" applyFont="1" applyFill="1" applyBorder="1" applyAlignment="1">
      <alignment horizontal="center"/>
    </xf>
    <xf numFmtId="0" fontId="129" fillId="9" borderId="68" xfId="0" applyFont="1" applyFill="1" applyBorder="1" applyAlignment="1">
      <alignment horizontal="center"/>
    </xf>
    <xf numFmtId="169" fontId="129" fillId="0" borderId="70" xfId="0" applyNumberFormat="1" applyFont="1" applyBorder="1" applyAlignment="1">
      <alignment horizontal="center"/>
    </xf>
    <xf numFmtId="169" fontId="129" fillId="0" borderId="72" xfId="0" applyNumberFormat="1" applyFont="1" applyBorder="1" applyAlignment="1">
      <alignment horizontal="center"/>
    </xf>
    <xf numFmtId="169" fontId="129" fillId="0" borderId="73" xfId="0" applyNumberFormat="1" applyFont="1" applyBorder="1" applyAlignment="1">
      <alignment horizontal="center"/>
    </xf>
    <xf numFmtId="9" fontId="129" fillId="0" borderId="72" xfId="0" applyNumberFormat="1" applyFont="1" applyBorder="1" applyAlignment="1">
      <alignment horizontal="center"/>
    </xf>
    <xf numFmtId="9" fontId="129" fillId="0" borderId="77" xfId="0" applyNumberFormat="1" applyFont="1" applyBorder="1" applyAlignment="1">
      <alignment horizontal="center"/>
    </xf>
    <xf numFmtId="0" fontId="130" fillId="0" borderId="83" xfId="0" applyFont="1" applyBorder="1"/>
    <xf numFmtId="0" fontId="129" fillId="8" borderId="61" xfId="0" applyFont="1" applyFill="1" applyBorder="1" applyAlignment="1">
      <alignment horizontal="center"/>
    </xf>
    <xf numFmtId="0" fontId="129" fillId="8" borderId="65" xfId="0" applyFont="1" applyFill="1" applyBorder="1" applyAlignment="1">
      <alignment horizontal="center"/>
    </xf>
    <xf numFmtId="0" fontId="129" fillId="8" borderId="66" xfId="0" applyFont="1" applyFill="1" applyBorder="1" applyAlignment="1">
      <alignment horizontal="center"/>
    </xf>
    <xf numFmtId="0" fontId="129" fillId="8" borderId="68" xfId="0" applyFont="1" applyFill="1" applyBorder="1" applyAlignment="1">
      <alignment horizontal="center"/>
    </xf>
    <xf numFmtId="0" fontId="129" fillId="16" borderId="61" xfId="0" applyFont="1" applyFill="1" applyBorder="1" applyAlignment="1">
      <alignment horizontal="center"/>
    </xf>
    <xf numFmtId="0" fontId="129" fillId="0" borderId="69" xfId="0" applyFont="1" applyBorder="1" applyAlignment="1">
      <alignment horizontal="left"/>
    </xf>
    <xf numFmtId="0" fontId="129" fillId="17" borderId="61" xfId="0" applyFont="1" applyFill="1" applyBorder="1" applyAlignment="1">
      <alignment horizontal="center"/>
    </xf>
    <xf numFmtId="0" fontId="129" fillId="17" borderId="65" xfId="0" applyFont="1" applyFill="1" applyBorder="1" applyAlignment="1">
      <alignment horizontal="center"/>
    </xf>
    <xf numFmtId="0" fontId="129" fillId="17" borderId="66" xfId="0" applyFont="1" applyFill="1" applyBorder="1" applyAlignment="1">
      <alignment horizontal="center"/>
    </xf>
    <xf numFmtId="0" fontId="129" fillId="17" borderId="68" xfId="0" applyFont="1" applyFill="1" applyBorder="1" applyAlignment="1">
      <alignment horizontal="center"/>
    </xf>
    <xf numFmtId="0" fontId="129" fillId="18" borderId="89" xfId="0" applyFont="1" applyFill="1" applyBorder="1" applyAlignment="1">
      <alignment horizontal="center"/>
    </xf>
    <xf numFmtId="1" fontId="130" fillId="0" borderId="70" xfId="0" applyNumberFormat="1" applyFont="1" applyBorder="1" applyAlignment="1">
      <alignment horizontal="center"/>
    </xf>
    <xf numFmtId="1" fontId="130" fillId="0" borderId="72" xfId="0" applyNumberFormat="1" applyFont="1" applyBorder="1" applyAlignment="1">
      <alignment horizontal="center"/>
    </xf>
    <xf numFmtId="1" fontId="130" fillId="0" borderId="73" xfId="0" applyNumberFormat="1" applyFont="1" applyBorder="1" applyAlignment="1">
      <alignment horizontal="center"/>
    </xf>
    <xf numFmtId="0" fontId="129" fillId="19" borderId="61" xfId="0" applyFont="1" applyFill="1" applyBorder="1" applyAlignment="1">
      <alignment horizontal="center"/>
    </xf>
    <xf numFmtId="0" fontId="129" fillId="19" borderId="65" xfId="0" applyFont="1" applyFill="1" applyBorder="1" applyAlignment="1">
      <alignment horizontal="center"/>
    </xf>
    <xf numFmtId="0" fontId="129" fillId="19" borderId="66" xfId="0" applyFont="1" applyFill="1" applyBorder="1" applyAlignment="1">
      <alignment horizontal="center"/>
    </xf>
    <xf numFmtId="0" fontId="129" fillId="19" borderId="68" xfId="0" applyFont="1" applyFill="1" applyBorder="1" applyAlignment="1">
      <alignment horizontal="center"/>
    </xf>
    <xf numFmtId="0" fontId="129" fillId="20" borderId="61" xfId="0" applyFont="1" applyFill="1" applyBorder="1" applyAlignment="1">
      <alignment horizontal="center"/>
    </xf>
    <xf numFmtId="169" fontId="130" fillId="0" borderId="74" xfId="0" applyNumberFormat="1" applyFont="1" applyBorder="1" applyAlignment="1">
      <alignment horizontal="center"/>
    </xf>
    <xf numFmtId="169" fontId="130" fillId="0" borderId="91" xfId="0" applyNumberFormat="1" applyFont="1" applyBorder="1" applyAlignment="1">
      <alignment horizontal="center"/>
    </xf>
    <xf numFmtId="174" fontId="130" fillId="0" borderId="70" xfId="0" applyNumberFormat="1" applyFont="1" applyBorder="1" applyAlignment="1">
      <alignment horizontal="center"/>
    </xf>
    <xf numFmtId="174" fontId="130" fillId="0" borderId="84" xfId="0" applyNumberFormat="1" applyFont="1" applyBorder="1" applyAlignment="1">
      <alignment horizontal="center"/>
    </xf>
    <xf numFmtId="2" fontId="130" fillId="0" borderId="86" xfId="0" applyNumberFormat="1" applyFont="1" applyBorder="1" applyAlignment="1">
      <alignment horizontal="center"/>
    </xf>
    <xf numFmtId="2" fontId="130" fillId="0" borderId="87" xfId="0" applyNumberFormat="1" applyFont="1" applyBorder="1" applyAlignment="1">
      <alignment horizontal="center"/>
    </xf>
    <xf numFmtId="0" fontId="129" fillId="0" borderId="0" xfId="0" applyFont="1" applyAlignment="1">
      <alignment horizontal="left"/>
    </xf>
    <xf numFmtId="0" fontId="134" fillId="0" borderId="0" xfId="0" applyFont="1" applyAlignment="1">
      <alignment horizontal="center" vertical="center"/>
    </xf>
    <xf numFmtId="0" fontId="139" fillId="0" borderId="0" xfId="0" applyFont="1" applyAlignment="1">
      <alignment horizontal="left" vertical="center"/>
    </xf>
    <xf numFmtId="3" fontId="134" fillId="0" borderId="0" xfId="0" applyNumberFormat="1" applyFont="1"/>
    <xf numFmtId="0" fontId="139" fillId="0" borderId="0" xfId="0" applyFont="1" applyAlignment="1">
      <alignment horizontal="center"/>
    </xf>
    <xf numFmtId="0" fontId="158" fillId="21" borderId="10" xfId="0" applyFont="1" applyFill="1" applyBorder="1"/>
    <xf numFmtId="0" fontId="159" fillId="21" borderId="11" xfId="0" applyFont="1" applyFill="1" applyBorder="1"/>
    <xf numFmtId="0" fontId="140" fillId="0" borderId="3" xfId="0" applyFont="1" applyBorder="1"/>
    <xf numFmtId="0" fontId="160" fillId="21" borderId="20" xfId="0" applyFont="1" applyFill="1" applyBorder="1"/>
    <xf numFmtId="10" fontId="160" fillId="21" borderId="21" xfId="0" applyNumberFormat="1" applyFont="1" applyFill="1" applyBorder="1"/>
    <xf numFmtId="0" fontId="140" fillId="0" borderId="6" xfId="0" applyFont="1" applyBorder="1"/>
    <xf numFmtId="3" fontId="140" fillId="0" borderId="92" xfId="0" applyNumberFormat="1" applyFont="1" applyBorder="1" applyAlignment="1">
      <alignment horizontal="center"/>
    </xf>
    <xf numFmtId="3" fontId="140" fillId="0" borderId="0" xfId="0" applyNumberFormat="1" applyFont="1" applyAlignment="1">
      <alignment horizontal="center"/>
    </xf>
    <xf numFmtId="3" fontId="140" fillId="0" borderId="9" xfId="0" applyNumberFormat="1" applyFont="1" applyBorder="1" applyAlignment="1">
      <alignment horizontal="center"/>
    </xf>
    <xf numFmtId="3" fontId="140" fillId="0" borderId="8" xfId="0" applyNumberFormat="1" applyFont="1" applyBorder="1" applyAlignment="1">
      <alignment horizontal="center"/>
    </xf>
    <xf numFmtId="0" fontId="140" fillId="0" borderId="93" xfId="0" applyFont="1" applyBorder="1"/>
    <xf numFmtId="3" fontId="140" fillId="0" borderId="14" xfId="0" applyNumberFormat="1" applyFont="1" applyBorder="1" applyAlignment="1">
      <alignment horizontal="center"/>
    </xf>
    <xf numFmtId="3" fontId="140" fillId="0" borderId="5" xfId="0" applyNumberFormat="1" applyFont="1" applyBorder="1"/>
    <xf numFmtId="3" fontId="140" fillId="0" borderId="14" xfId="0" applyNumberFormat="1" applyFont="1" applyBorder="1" applyAlignment="1">
      <alignment horizontal="right"/>
    </xf>
    <xf numFmtId="3" fontId="140" fillId="0" borderId="14" xfId="0" applyNumberFormat="1" applyFont="1" applyBorder="1"/>
    <xf numFmtId="3" fontId="140" fillId="0" borderId="93" xfId="0" applyNumberFormat="1" applyFont="1" applyBorder="1" applyAlignment="1">
      <alignment horizontal="center"/>
    </xf>
    <xf numFmtId="3" fontId="140" fillId="0" borderId="5" xfId="0" applyNumberFormat="1" applyFont="1" applyBorder="1" applyAlignment="1">
      <alignment horizontal="center"/>
    </xf>
    <xf numFmtId="0" fontId="140" fillId="0" borderId="8" xfId="0" applyFont="1" applyBorder="1"/>
    <xf numFmtId="3" fontId="140" fillId="0" borderId="0" xfId="0" applyNumberFormat="1" applyFont="1"/>
    <xf numFmtId="3" fontId="140" fillId="0" borderId="8" xfId="0" applyNumberFormat="1" applyFont="1" applyBorder="1"/>
    <xf numFmtId="3" fontId="140" fillId="0" borderId="9" xfId="0" applyNumberFormat="1" applyFont="1" applyBorder="1"/>
    <xf numFmtId="0" fontId="159" fillId="21" borderId="12" xfId="0" applyFont="1" applyFill="1" applyBorder="1"/>
    <xf numFmtId="10" fontId="160" fillId="21" borderId="13" xfId="0" applyNumberFormat="1" applyFont="1" applyFill="1" applyBorder="1"/>
    <xf numFmtId="0" fontId="133" fillId="0" borderId="6" xfId="0" applyFont="1" applyBorder="1"/>
    <xf numFmtId="3" fontId="133" fillId="0" borderId="92" xfId="0" applyNumberFormat="1" applyFont="1" applyBorder="1"/>
    <xf numFmtId="3" fontId="133" fillId="0" borderId="7" xfId="0" applyNumberFormat="1" applyFont="1" applyBorder="1"/>
    <xf numFmtId="3" fontId="133" fillId="0" borderId="6" xfId="0" applyNumberFormat="1" applyFont="1" applyBorder="1"/>
    <xf numFmtId="0" fontId="140" fillId="0" borderId="9" xfId="0" applyFont="1" applyBorder="1"/>
    <xf numFmtId="174" fontId="133" fillId="0" borderId="8" xfId="0" applyNumberFormat="1" applyFont="1" applyBorder="1"/>
    <xf numFmtId="174" fontId="133" fillId="0" borderId="9" xfId="0" applyNumberFormat="1" applyFont="1" applyBorder="1"/>
    <xf numFmtId="0" fontId="133" fillId="0" borderId="93" xfId="0" applyFont="1" applyBorder="1"/>
    <xf numFmtId="3" fontId="140" fillId="0" borderId="93" xfId="0" applyNumberFormat="1" applyFont="1" applyBorder="1"/>
    <xf numFmtId="3" fontId="133" fillId="0" borderId="93" xfId="0" applyNumberFormat="1" applyFont="1" applyBorder="1"/>
    <xf numFmtId="3" fontId="133" fillId="0" borderId="14" xfId="0" applyNumberFormat="1" applyFont="1" applyBorder="1"/>
    <xf numFmtId="0" fontId="133" fillId="0" borderId="8" xfId="0" applyFont="1" applyBorder="1"/>
    <xf numFmtId="3" fontId="140" fillId="0" borderId="92" xfId="0" applyNumberFormat="1" applyFont="1" applyBorder="1"/>
    <xf numFmtId="3" fontId="140" fillId="0" borderId="7" xfId="0" applyNumberFormat="1" applyFont="1" applyBorder="1"/>
    <xf numFmtId="3" fontId="140" fillId="0" borderId="6" xfId="0" applyNumberFormat="1" applyFont="1" applyBorder="1"/>
    <xf numFmtId="166" fontId="140" fillId="0" borderId="0" xfId="0" applyNumberFormat="1" applyFont="1"/>
    <xf numFmtId="3" fontId="133" fillId="0" borderId="8" xfId="0" applyNumberFormat="1" applyFont="1" applyBorder="1"/>
    <xf numFmtId="37" fontId="140" fillId="0" borderId="9" xfId="0" applyNumberFormat="1" applyFont="1" applyBorder="1"/>
    <xf numFmtId="37" fontId="140" fillId="0" borderId="8" xfId="0" applyNumberFormat="1" applyFont="1" applyBorder="1"/>
    <xf numFmtId="0" fontId="133" fillId="3" borderId="10" xfId="0" applyFont="1" applyFill="1" applyBorder="1"/>
    <xf numFmtId="37" fontId="133" fillId="3" borderId="26" xfId="0" applyNumberFormat="1" applyFont="1" applyFill="1" applyBorder="1"/>
    <xf numFmtId="3" fontId="133" fillId="3" borderId="26" xfId="0" applyNumberFormat="1" applyFont="1" applyFill="1" applyBorder="1"/>
    <xf numFmtId="37" fontId="133" fillId="3" borderId="11" xfId="0" applyNumberFormat="1" applyFont="1" applyFill="1" applyBorder="1"/>
    <xf numFmtId="37" fontId="133" fillId="3" borderId="10" xfId="0" applyNumberFormat="1" applyFont="1" applyFill="1" applyBorder="1"/>
    <xf numFmtId="0" fontId="133" fillId="3" borderId="12" xfId="0" applyFont="1" applyFill="1" applyBorder="1"/>
    <xf numFmtId="0" fontId="133" fillId="3" borderId="27" xfId="0" applyFont="1" applyFill="1" applyBorder="1"/>
    <xf numFmtId="0" fontId="133" fillId="3" borderId="13" xfId="0" applyFont="1" applyFill="1" applyBorder="1"/>
    <xf numFmtId="174" fontId="133" fillId="3" borderId="12" xfId="0" applyNumberFormat="1" applyFont="1" applyFill="1" applyBorder="1"/>
    <xf numFmtId="174" fontId="133" fillId="3" borderId="13" xfId="0" applyNumberFormat="1" applyFont="1" applyFill="1" applyBorder="1"/>
    <xf numFmtId="0" fontId="133" fillId="0" borderId="9" xfId="0" applyFont="1" applyBorder="1"/>
    <xf numFmtId="0" fontId="133" fillId="0" borderId="8" xfId="0" applyFont="1" applyBorder="1" applyAlignment="1">
      <alignment horizontal="left"/>
    </xf>
    <xf numFmtId="174" fontId="140" fillId="0" borderId="0" xfId="0" applyNumberFormat="1" applyFont="1" applyAlignment="1">
      <alignment horizontal="right"/>
    </xf>
    <xf numFmtId="37" fontId="140" fillId="0" borderId="0" xfId="0" applyNumberFormat="1" applyFont="1"/>
    <xf numFmtId="174" fontId="140" fillId="0" borderId="8" xfId="0" applyNumberFormat="1" applyFont="1" applyBorder="1"/>
    <xf numFmtId="174" fontId="140" fillId="0" borderId="14" xfId="0" applyNumberFormat="1" applyFont="1" applyBorder="1" applyAlignment="1">
      <alignment horizontal="right"/>
    </xf>
    <xf numFmtId="37" fontId="140" fillId="0" borderId="14" xfId="0" applyNumberFormat="1" applyFont="1" applyBorder="1"/>
    <xf numFmtId="174" fontId="140" fillId="0" borderId="93" xfId="0" applyNumberFormat="1" applyFont="1" applyBorder="1"/>
    <xf numFmtId="37" fontId="140" fillId="0" borderId="5" xfId="0" applyNumberFormat="1" applyFont="1" applyBorder="1"/>
    <xf numFmtId="0" fontId="140" fillId="0" borderId="0" xfId="0" applyFont="1" applyAlignment="1">
      <alignment horizontal="right"/>
    </xf>
    <xf numFmtId="0" fontId="140" fillId="0" borderId="8" xfId="0" applyFont="1" applyBorder="1" applyAlignment="1">
      <alignment horizontal="right"/>
    </xf>
    <xf numFmtId="0" fontId="140" fillId="0" borderId="14" xfId="0" applyFont="1" applyBorder="1" applyAlignment="1">
      <alignment horizontal="right"/>
    </xf>
    <xf numFmtId="0" fontId="140" fillId="0" borderId="93" xfId="0" applyFont="1" applyBorder="1" applyAlignment="1">
      <alignment horizontal="right"/>
    </xf>
    <xf numFmtId="3" fontId="140" fillId="0" borderId="94" xfId="0" applyNumberFormat="1" applyFont="1" applyBorder="1"/>
    <xf numFmtId="3" fontId="140" fillId="0" borderId="55" xfId="0" applyNumberFormat="1" applyFont="1" applyBorder="1"/>
    <xf numFmtId="3" fontId="140" fillId="0" borderId="96" xfId="0" applyNumberFormat="1" applyFont="1" applyBorder="1"/>
    <xf numFmtId="0" fontId="133" fillId="3" borderId="28" xfId="0" applyFont="1" applyFill="1" applyBorder="1"/>
    <xf numFmtId="0" fontId="133" fillId="3" borderId="29" xfId="0" applyFont="1" applyFill="1" applyBorder="1" applyAlignment="1">
      <alignment horizontal="center"/>
    </xf>
    <xf numFmtId="174" fontId="133" fillId="3" borderId="29" xfId="0" applyNumberFormat="1" applyFont="1" applyFill="1" applyBorder="1"/>
    <xf numFmtId="37" fontId="133" fillId="3" borderId="30" xfId="0" applyNumberFormat="1" applyFont="1" applyFill="1" applyBorder="1"/>
    <xf numFmtId="0" fontId="133" fillId="3" borderId="28" xfId="0" applyFont="1" applyFill="1" applyBorder="1" applyAlignment="1">
      <alignment horizontal="center"/>
    </xf>
    <xf numFmtId="0" fontId="140" fillId="3" borderId="31" xfId="0" applyFont="1" applyFill="1" applyBorder="1"/>
    <xf numFmtId="37" fontId="133" fillId="3" borderId="29" xfId="0" applyNumberFormat="1" applyFont="1" applyFill="1" applyBorder="1"/>
    <xf numFmtId="0" fontId="140" fillId="3" borderId="28" xfId="0" applyFont="1" applyFill="1" applyBorder="1"/>
    <xf numFmtId="0" fontId="141" fillId="0" borderId="8" xfId="0" applyFont="1" applyBorder="1"/>
    <xf numFmtId="0" fontId="141" fillId="0" borderId="93" xfId="0" applyFont="1" applyBorder="1"/>
    <xf numFmtId="0" fontId="140" fillId="0" borderId="92" xfId="0" applyFont="1" applyBorder="1" applyAlignment="1">
      <alignment horizontal="right"/>
    </xf>
    <xf numFmtId="0" fontId="140" fillId="0" borderId="92" xfId="0" applyFont="1" applyBorder="1"/>
    <xf numFmtId="0" fontId="140" fillId="0" borderId="6" xfId="0" applyFont="1" applyBorder="1" applyAlignment="1">
      <alignment horizontal="right"/>
    </xf>
    <xf numFmtId="37" fontId="140" fillId="0" borderId="7" xfId="0" applyNumberFormat="1" applyFont="1" applyBorder="1"/>
    <xf numFmtId="0" fontId="140" fillId="0" borderId="14" xfId="0" applyFont="1" applyBorder="1"/>
    <xf numFmtId="37" fontId="133" fillId="0" borderId="0" xfId="0" applyNumberFormat="1" applyFont="1"/>
    <xf numFmtId="37" fontId="133" fillId="3" borderId="24" xfId="0" applyNumberFormat="1" applyFont="1" applyFill="1" applyBorder="1"/>
    <xf numFmtId="0" fontId="140" fillId="10" borderId="1" xfId="0" applyFont="1" applyFill="1" applyBorder="1"/>
    <xf numFmtId="1" fontId="140" fillId="0" borderId="8" xfId="0" applyNumberFormat="1" applyFont="1" applyBorder="1"/>
    <xf numFmtId="171" fontId="140" fillId="0" borderId="0" xfId="0" applyNumberFormat="1" applyFont="1"/>
    <xf numFmtId="0" fontId="133" fillId="6" borderId="20" xfId="0" applyFont="1" applyFill="1" applyBorder="1"/>
    <xf numFmtId="0" fontId="140" fillId="6" borderId="1" xfId="0" applyFont="1" applyFill="1" applyBorder="1"/>
    <xf numFmtId="0" fontId="133" fillId="6" borderId="1" xfId="0" applyFont="1" applyFill="1" applyBorder="1"/>
    <xf numFmtId="37" fontId="133" fillId="6" borderId="21" xfId="0" applyNumberFormat="1" applyFont="1" applyFill="1" applyBorder="1"/>
    <xf numFmtId="0" fontId="140" fillId="6" borderId="20" xfId="0" applyFont="1" applyFill="1" applyBorder="1"/>
    <xf numFmtId="0" fontId="140" fillId="6" borderId="22" xfId="0" applyFont="1" applyFill="1" applyBorder="1"/>
    <xf numFmtId="0" fontId="140" fillId="6" borderId="23" xfId="0" applyFont="1" applyFill="1" applyBorder="1"/>
    <xf numFmtId="37" fontId="133" fillId="6" borderId="24" xfId="0" applyNumberFormat="1" applyFont="1" applyFill="1" applyBorder="1"/>
    <xf numFmtId="0" fontId="133" fillId="3" borderId="34" xfId="0" applyFont="1" applyFill="1" applyBorder="1"/>
    <xf numFmtId="0" fontId="140" fillId="3" borderId="35" xfId="0" applyFont="1" applyFill="1" applyBorder="1"/>
    <xf numFmtId="0" fontId="133" fillId="3" borderId="35" xfId="0" applyFont="1" applyFill="1" applyBorder="1"/>
    <xf numFmtId="37" fontId="133" fillId="3" borderId="36" xfId="0" applyNumberFormat="1" applyFont="1" applyFill="1" applyBorder="1"/>
    <xf numFmtId="0" fontId="140" fillId="3" borderId="34" xfId="0" applyFont="1" applyFill="1" applyBorder="1"/>
    <xf numFmtId="1" fontId="142" fillId="0" borderId="0" xfId="0" applyNumberFormat="1" applyFont="1"/>
    <xf numFmtId="37" fontId="142" fillId="0" borderId="0" xfId="0" applyNumberFormat="1" applyFont="1"/>
    <xf numFmtId="0" fontId="161" fillId="22" borderId="1" xfId="0" applyFont="1" applyFill="1" applyBorder="1"/>
    <xf numFmtId="0" fontId="140" fillId="0" borderId="9" xfId="0" applyFont="1" applyBorder="1" applyAlignment="1">
      <alignment horizontal="center"/>
    </xf>
    <xf numFmtId="0" fontId="140" fillId="0" borderId="8" xfId="0" applyFont="1" applyBorder="1" applyAlignment="1">
      <alignment horizontal="center"/>
    </xf>
    <xf numFmtId="0" fontId="140" fillId="0" borderId="93" xfId="0" applyFont="1" applyBorder="1" applyAlignment="1">
      <alignment horizontal="center"/>
    </xf>
    <xf numFmtId="0" fontId="140" fillId="0" borderId="5" xfId="0" applyFont="1" applyBorder="1" applyAlignment="1">
      <alignment horizontal="center"/>
    </xf>
    <xf numFmtId="0" fontId="162" fillId="0" borderId="0" xfId="0" applyFont="1"/>
    <xf numFmtId="174" fontId="143" fillId="0" borderId="8" xfId="0" applyNumberFormat="1" applyFont="1" applyBorder="1"/>
    <xf numFmtId="174" fontId="143" fillId="0" borderId="9" xfId="0" applyNumberFormat="1" applyFont="1" applyBorder="1"/>
    <xf numFmtId="39" fontId="140" fillId="0" borderId="0" xfId="0" applyNumberFormat="1" applyFont="1"/>
    <xf numFmtId="3" fontId="133" fillId="0" borderId="5" xfId="0" applyNumberFormat="1" applyFont="1" applyBorder="1"/>
    <xf numFmtId="173" fontId="140" fillId="0" borderId="0" xfId="0" applyNumberFormat="1" applyFont="1"/>
    <xf numFmtId="173" fontId="133" fillId="3" borderId="26" xfId="0" applyNumberFormat="1" applyFont="1" applyFill="1" applyBorder="1"/>
    <xf numFmtId="9" fontId="133" fillId="3" borderId="12" xfId="0" applyNumberFormat="1" applyFont="1" applyFill="1" applyBorder="1"/>
    <xf numFmtId="174" fontId="133" fillId="9" borderId="13" xfId="0" applyNumberFormat="1" applyFont="1" applyFill="1" applyBorder="1"/>
    <xf numFmtId="174" fontId="140" fillId="0" borderId="0" xfId="0" applyNumberFormat="1" applyFont="1"/>
    <xf numFmtId="174" fontId="140" fillId="0" borderId="14" xfId="0" applyNumberFormat="1" applyFont="1" applyBorder="1"/>
    <xf numFmtId="0" fontId="140" fillId="3" borderId="22" xfId="0" applyFont="1" applyFill="1" applyBorder="1"/>
    <xf numFmtId="0" fontId="133" fillId="0" borderId="0" xfId="0" applyFont="1" applyAlignment="1">
      <alignment horizontal="center"/>
    </xf>
    <xf numFmtId="174" fontId="133" fillId="0" borderId="0" xfId="0" applyNumberFormat="1" applyFont="1"/>
    <xf numFmtId="0" fontId="133" fillId="0" borderId="8" xfId="0" applyFont="1" applyBorder="1" applyAlignment="1">
      <alignment horizontal="center"/>
    </xf>
    <xf numFmtId="1" fontId="140" fillId="0" borderId="0" xfId="0" applyNumberFormat="1" applyFont="1"/>
    <xf numFmtId="0" fontId="140" fillId="3" borderId="35" xfId="0" applyFont="1" applyFill="1" applyBorder="1" applyAlignment="1">
      <alignment horizontal="right"/>
    </xf>
    <xf numFmtId="0" fontId="140" fillId="3" borderId="34" xfId="0" applyFont="1" applyFill="1" applyBorder="1" applyAlignment="1">
      <alignment horizontal="right"/>
    </xf>
    <xf numFmtId="174" fontId="140" fillId="0" borderId="9" xfId="0" applyNumberFormat="1" applyFont="1" applyBorder="1"/>
    <xf numFmtId="39" fontId="140" fillId="0" borderId="14" xfId="0" applyNumberFormat="1" applyFont="1" applyBorder="1" applyAlignment="1">
      <alignment horizontal="center"/>
    </xf>
    <xf numFmtId="174" fontId="140" fillId="0" borderId="5" xfId="0" applyNumberFormat="1" applyFont="1" applyBorder="1"/>
    <xf numFmtId="37" fontId="140" fillId="0" borderId="93" xfId="0" applyNumberFormat="1" applyFont="1" applyBorder="1"/>
    <xf numFmtId="37" fontId="140" fillId="0" borderId="92" xfId="0" applyNumberFormat="1" applyFont="1" applyBorder="1"/>
    <xf numFmtId="37" fontId="140" fillId="0" borderId="6" xfId="0" applyNumberFormat="1" applyFont="1" applyBorder="1"/>
    <xf numFmtId="10" fontId="140" fillId="0" borderId="0" xfId="0" applyNumberFormat="1" applyFont="1"/>
    <xf numFmtId="174" fontId="133" fillId="0" borderId="93" xfId="0" applyNumberFormat="1" applyFont="1" applyBorder="1"/>
    <xf numFmtId="174" fontId="133" fillId="0" borderId="5" xfId="0" applyNumberFormat="1" applyFont="1" applyBorder="1"/>
    <xf numFmtId="174" fontId="140" fillId="0" borderId="6" xfId="0" applyNumberFormat="1" applyFont="1" applyBorder="1"/>
    <xf numFmtId="173" fontId="133" fillId="0" borderId="0" xfId="0" applyNumberFormat="1" applyFont="1"/>
    <xf numFmtId="37" fontId="133" fillId="0" borderId="8" xfId="0" applyNumberFormat="1" applyFont="1" applyBorder="1"/>
    <xf numFmtId="37" fontId="133" fillId="0" borderId="9" xfId="0" applyNumberFormat="1" applyFont="1" applyBorder="1"/>
    <xf numFmtId="0" fontId="133" fillId="0" borderId="14" xfId="0" applyFont="1" applyBorder="1"/>
    <xf numFmtId="173" fontId="133" fillId="0" borderId="14" xfId="0" applyNumberFormat="1" applyFont="1" applyBorder="1"/>
    <xf numFmtId="37" fontId="133" fillId="0" borderId="93" xfId="0" applyNumberFormat="1" applyFont="1" applyBorder="1"/>
    <xf numFmtId="37" fontId="133" fillId="0" borderId="5" xfId="0" applyNumberFormat="1" applyFont="1" applyBorder="1"/>
    <xf numFmtId="37" fontId="140" fillId="0" borderId="97" xfId="0" applyNumberFormat="1" applyFont="1" applyBorder="1"/>
    <xf numFmtId="0" fontId="133" fillId="6" borderId="10" xfId="0" applyFont="1" applyFill="1" applyBorder="1"/>
    <xf numFmtId="37" fontId="133" fillId="6" borderId="26" xfId="0" applyNumberFormat="1" applyFont="1" applyFill="1" applyBorder="1"/>
    <xf numFmtId="37" fontId="133" fillId="6" borderId="11" xfId="0" applyNumberFormat="1" applyFont="1" applyFill="1" applyBorder="1"/>
    <xf numFmtId="37" fontId="133" fillId="6" borderId="10" xfId="0" applyNumberFormat="1" applyFont="1" applyFill="1" applyBorder="1"/>
    <xf numFmtId="174" fontId="133" fillId="6" borderId="10" xfId="0" applyNumberFormat="1" applyFont="1" applyFill="1" applyBorder="1"/>
    <xf numFmtId="0" fontId="133" fillId="6" borderId="22" xfId="0" applyFont="1" applyFill="1" applyBorder="1"/>
    <xf numFmtId="37" fontId="133" fillId="6" borderId="23" xfId="0" applyNumberFormat="1" applyFont="1" applyFill="1" applyBorder="1"/>
    <xf numFmtId="39" fontId="133" fillId="6" borderId="23" xfId="0" applyNumberFormat="1" applyFont="1" applyFill="1" applyBorder="1" applyAlignment="1">
      <alignment horizontal="center"/>
    </xf>
    <xf numFmtId="174" fontId="133" fillId="6" borderId="24" xfId="0" applyNumberFormat="1" applyFont="1" applyFill="1" applyBorder="1"/>
    <xf numFmtId="37" fontId="133" fillId="6" borderId="22" xfId="0" applyNumberFormat="1" applyFont="1" applyFill="1" applyBorder="1"/>
    <xf numFmtId="37" fontId="133" fillId="0" borderId="92" xfId="0" applyNumberFormat="1" applyFont="1" applyBorder="1"/>
    <xf numFmtId="173" fontId="133" fillId="0" borderId="92" xfId="0" applyNumberFormat="1" applyFont="1" applyBorder="1"/>
    <xf numFmtId="37" fontId="133" fillId="0" borderId="7" xfId="0" applyNumberFormat="1" applyFont="1" applyBorder="1"/>
    <xf numFmtId="37" fontId="133" fillId="0" borderId="6" xfId="0" applyNumberFormat="1" applyFont="1" applyBorder="1"/>
    <xf numFmtId="0" fontId="133" fillId="6" borderId="19" xfId="0" applyFont="1" applyFill="1" applyBorder="1"/>
    <xf numFmtId="37" fontId="133" fillId="6" borderId="15" xfId="0" applyNumberFormat="1" applyFont="1" applyFill="1" applyBorder="1"/>
    <xf numFmtId="173" fontId="133" fillId="6" borderId="15" xfId="0" applyNumberFormat="1" applyFont="1" applyFill="1" applyBorder="1"/>
    <xf numFmtId="37" fontId="133" fillId="6" borderId="25" xfId="0" applyNumberFormat="1" applyFont="1" applyFill="1" applyBorder="1"/>
    <xf numFmtId="37" fontId="133" fillId="6" borderId="19" xfId="0" applyNumberFormat="1" applyFont="1" applyFill="1" applyBorder="1"/>
    <xf numFmtId="174" fontId="133" fillId="3" borderId="10" xfId="0" applyNumberFormat="1" applyFont="1" applyFill="1" applyBorder="1"/>
    <xf numFmtId="37" fontId="140" fillId="0" borderId="0" xfId="0" applyNumberFormat="1" applyFont="1" applyAlignment="1">
      <alignment horizontal="center"/>
    </xf>
    <xf numFmtId="0" fontId="140" fillId="0" borderId="14" xfId="0" applyFont="1" applyBorder="1" applyAlignment="1">
      <alignment horizontal="center"/>
    </xf>
    <xf numFmtId="1" fontId="140" fillId="0" borderId="6" xfId="0" applyNumberFormat="1" applyFont="1" applyBorder="1"/>
    <xf numFmtId="173" fontId="140" fillId="0" borderId="14" xfId="0" applyNumberFormat="1" applyFont="1" applyBorder="1"/>
    <xf numFmtId="2" fontId="140" fillId="0" borderId="14" xfId="0" applyNumberFormat="1" applyFont="1" applyBorder="1"/>
    <xf numFmtId="10" fontId="133" fillId="3" borderId="10" xfId="0" applyNumberFormat="1" applyFont="1" applyFill="1" applyBorder="1"/>
    <xf numFmtId="0" fontId="141" fillId="0" borderId="6" xfId="0" applyFont="1" applyBorder="1"/>
    <xf numFmtId="174" fontId="133" fillId="0" borderId="92" xfId="0" applyNumberFormat="1" applyFont="1" applyBorder="1"/>
    <xf numFmtId="174" fontId="133" fillId="0" borderId="6" xfId="0" applyNumberFormat="1" applyFont="1" applyBorder="1"/>
    <xf numFmtId="0" fontId="140" fillId="0" borderId="5" xfId="0" applyFont="1" applyBorder="1"/>
    <xf numFmtId="174" fontId="133" fillId="3" borderId="26" xfId="0" applyNumberFormat="1" applyFont="1" applyFill="1" applyBorder="1"/>
    <xf numFmtId="174" fontId="133" fillId="3" borderId="16" xfId="0" applyNumberFormat="1" applyFont="1" applyFill="1" applyBorder="1"/>
    <xf numFmtId="37" fontId="133" fillId="3" borderId="18" xfId="0" applyNumberFormat="1" applyFont="1" applyFill="1" applyBorder="1"/>
    <xf numFmtId="37" fontId="133" fillId="3" borderId="35" xfId="0" applyNumberFormat="1" applyFont="1" applyFill="1" applyBorder="1"/>
    <xf numFmtId="173" fontId="133" fillId="3" borderId="35" xfId="0" applyNumberFormat="1" applyFont="1" applyFill="1" applyBorder="1"/>
    <xf numFmtId="37" fontId="133" fillId="3" borderId="34" xfId="0" applyNumberFormat="1" applyFont="1" applyFill="1" applyBorder="1"/>
    <xf numFmtId="0" fontId="140" fillId="3" borderId="12" xfId="0" applyFont="1" applyFill="1" applyBorder="1"/>
    <xf numFmtId="164" fontId="140" fillId="0" borderId="0" xfId="0" applyNumberFormat="1" applyFont="1"/>
    <xf numFmtId="0" fontId="140" fillId="0" borderId="98" xfId="0" applyFont="1" applyBorder="1" applyAlignment="1">
      <alignment horizontal="center"/>
    </xf>
    <xf numFmtId="0" fontId="140" fillId="0" borderId="99" xfId="0" applyFont="1" applyBorder="1" applyAlignment="1">
      <alignment horizontal="center"/>
    </xf>
    <xf numFmtId="0" fontId="140" fillId="0" borderId="97" xfId="0" applyFont="1" applyBorder="1" applyAlignment="1">
      <alignment horizontal="center"/>
    </xf>
    <xf numFmtId="37" fontId="140" fillId="9" borderId="1" xfId="0" applyNumberFormat="1" applyFont="1" applyFill="1" applyBorder="1"/>
    <xf numFmtId="174" fontId="133" fillId="3" borderId="1" xfId="0" applyNumberFormat="1" applyFont="1" applyFill="1" applyBorder="1"/>
    <xf numFmtId="37" fontId="140" fillId="9" borderId="18" xfId="0" applyNumberFormat="1" applyFont="1" applyFill="1" applyBorder="1"/>
    <xf numFmtId="3" fontId="140" fillId="9" borderId="16" xfId="0" applyNumberFormat="1" applyFont="1" applyFill="1" applyBorder="1"/>
    <xf numFmtId="3" fontId="140" fillId="9" borderId="18" xfId="0" applyNumberFormat="1" applyFont="1" applyFill="1" applyBorder="1"/>
    <xf numFmtId="0" fontId="163" fillId="0" borderId="0" xfId="0" applyFont="1"/>
    <xf numFmtId="174" fontId="133" fillId="0" borderId="100" xfId="0" applyNumberFormat="1" applyFont="1" applyBorder="1"/>
    <xf numFmtId="0" fontId="133" fillId="3" borderId="37" xfId="0" applyFont="1" applyFill="1" applyBorder="1"/>
    <xf numFmtId="0" fontId="133" fillId="3" borderId="38" xfId="0" applyFont="1" applyFill="1" applyBorder="1"/>
    <xf numFmtId="37" fontId="133" fillId="3" borderId="39" xfId="0" applyNumberFormat="1" applyFont="1" applyFill="1" applyBorder="1"/>
    <xf numFmtId="0" fontId="140" fillId="3" borderId="37" xfId="0" applyFont="1" applyFill="1" applyBorder="1"/>
    <xf numFmtId="0" fontId="140" fillId="3" borderId="38" xfId="0" applyFont="1" applyFill="1" applyBorder="1"/>
    <xf numFmtId="0" fontId="164" fillId="23" borderId="1" xfId="0" applyFont="1" applyFill="1" applyBorder="1"/>
    <xf numFmtId="0" fontId="143" fillId="0" borderId="0" xfId="0" applyFont="1" applyAlignment="1">
      <alignment horizontal="center" vertical="center"/>
    </xf>
    <xf numFmtId="0" fontId="140" fillId="0" borderId="101" xfId="0" applyFont="1" applyBorder="1" applyAlignment="1">
      <alignment horizontal="left"/>
    </xf>
    <xf numFmtId="0" fontId="133" fillId="0" borderId="102" xfId="0" applyFont="1" applyBorder="1" applyAlignment="1">
      <alignment horizontal="center" vertical="center"/>
    </xf>
    <xf numFmtId="0" fontId="140" fillId="0" borderId="87" xfId="0" applyFont="1" applyBorder="1" applyAlignment="1">
      <alignment horizontal="center"/>
    </xf>
    <xf numFmtId="0" fontId="140" fillId="0" borderId="85" xfId="0" applyFont="1" applyBorder="1" applyAlignment="1">
      <alignment horizontal="center"/>
    </xf>
    <xf numFmtId="0" fontId="140" fillId="0" borderId="106" xfId="0" applyFont="1" applyBorder="1" applyAlignment="1">
      <alignment horizontal="center"/>
    </xf>
    <xf numFmtId="0" fontId="141" fillId="0" borderId="14" xfId="0" applyFont="1" applyBorder="1"/>
    <xf numFmtId="37" fontId="141" fillId="0" borderId="87" xfId="0" applyNumberFormat="1" applyFont="1" applyBorder="1"/>
    <xf numFmtId="37" fontId="141" fillId="0" borderId="85" xfId="0" applyNumberFormat="1" applyFont="1" applyBorder="1"/>
    <xf numFmtId="37" fontId="141" fillId="0" borderId="14" xfId="0" applyNumberFormat="1" applyFont="1" applyBorder="1"/>
    <xf numFmtId="174" fontId="141" fillId="0" borderId="14" xfId="0" applyNumberFormat="1" applyFont="1" applyBorder="1"/>
    <xf numFmtId="37" fontId="141" fillId="0" borderId="106" xfId="0" applyNumberFormat="1" applyFont="1" applyBorder="1"/>
    <xf numFmtId="174" fontId="141" fillId="0" borderId="5" xfId="0" applyNumberFormat="1" applyFont="1" applyBorder="1"/>
    <xf numFmtId="0" fontId="143" fillId="3" borderId="22" xfId="0" applyFont="1" applyFill="1" applyBorder="1"/>
    <xf numFmtId="0" fontId="143" fillId="3" borderId="23" xfId="0" applyFont="1" applyFill="1" applyBorder="1"/>
    <xf numFmtId="37" fontId="143" fillId="3" borderId="107" xfId="0" applyNumberFormat="1" applyFont="1" applyFill="1" applyBorder="1"/>
    <xf numFmtId="37" fontId="143" fillId="3" borderId="108" xfId="0" applyNumberFormat="1" applyFont="1" applyFill="1" applyBorder="1"/>
    <xf numFmtId="37" fontId="143" fillId="3" borderId="23" xfId="0" applyNumberFormat="1" applyFont="1" applyFill="1" applyBorder="1"/>
    <xf numFmtId="174" fontId="143" fillId="3" borderId="23" xfId="0" applyNumberFormat="1" applyFont="1" applyFill="1" applyBorder="1"/>
    <xf numFmtId="37" fontId="143" fillId="3" borderId="109" xfId="0" applyNumberFormat="1" applyFont="1" applyFill="1" applyBorder="1"/>
    <xf numFmtId="174" fontId="143" fillId="3" borderId="24" xfId="0" applyNumberFormat="1" applyFont="1" applyFill="1" applyBorder="1"/>
    <xf numFmtId="0" fontId="143" fillId="0" borderId="8" xfId="0" applyFont="1" applyBorder="1"/>
    <xf numFmtId="0" fontId="141" fillId="0" borderId="0" xfId="0" applyFont="1"/>
    <xf numFmtId="37" fontId="141" fillId="0" borderId="73" xfId="0" applyNumberFormat="1" applyFont="1" applyBorder="1"/>
    <xf numFmtId="37" fontId="141" fillId="0" borderId="71" xfId="0" applyNumberFormat="1" applyFont="1" applyBorder="1"/>
    <xf numFmtId="37" fontId="141" fillId="0" borderId="0" xfId="0" applyNumberFormat="1" applyFont="1"/>
    <xf numFmtId="174" fontId="141" fillId="0" borderId="0" xfId="0" applyNumberFormat="1" applyFont="1"/>
    <xf numFmtId="37" fontId="141" fillId="0" borderId="56" xfId="0" applyNumberFormat="1" applyFont="1" applyBorder="1"/>
    <xf numFmtId="174" fontId="141" fillId="0" borderId="7" xfId="0" applyNumberFormat="1" applyFont="1" applyBorder="1"/>
    <xf numFmtId="0" fontId="141" fillId="0" borderId="0" xfId="0" applyFont="1" applyAlignment="1">
      <alignment horizontal="right"/>
    </xf>
    <xf numFmtId="173" fontId="141" fillId="0" borderId="0" xfId="0" applyNumberFormat="1" applyFont="1"/>
    <xf numFmtId="0" fontId="141" fillId="0" borderId="71" xfId="0" applyFont="1" applyBorder="1"/>
    <xf numFmtId="174" fontId="141" fillId="0" borderId="9" xfId="0" applyNumberFormat="1" applyFont="1" applyBorder="1"/>
    <xf numFmtId="0" fontId="141" fillId="0" borderId="14" xfId="0" applyFont="1" applyBorder="1" applyAlignment="1">
      <alignment horizontal="right"/>
    </xf>
    <xf numFmtId="173" fontId="141" fillId="0" borderId="14" xfId="0" applyNumberFormat="1" applyFont="1" applyBorder="1"/>
    <xf numFmtId="0" fontId="141" fillId="0" borderId="85" xfId="0" applyFont="1" applyBorder="1"/>
    <xf numFmtId="174" fontId="141" fillId="0" borderId="87" xfId="0" applyNumberFormat="1" applyFont="1" applyBorder="1"/>
    <xf numFmtId="0" fontId="143" fillId="3" borderId="28" xfId="0" applyFont="1" applyFill="1" applyBorder="1"/>
    <xf numFmtId="0" fontId="143" fillId="3" borderId="29" xfId="0" applyFont="1" applyFill="1" applyBorder="1"/>
    <xf numFmtId="174" fontId="143" fillId="3" borderId="29" xfId="0" applyNumberFormat="1" applyFont="1" applyFill="1" applyBorder="1"/>
    <xf numFmtId="37" fontId="143" fillId="3" borderId="68" xfId="0" applyNumberFormat="1" applyFont="1" applyFill="1" applyBorder="1"/>
    <xf numFmtId="174" fontId="143" fillId="3" borderId="31" xfId="0" applyNumberFormat="1" applyFont="1" applyFill="1" applyBorder="1"/>
    <xf numFmtId="0" fontId="143" fillId="3" borderId="31" xfId="0" applyFont="1" applyFill="1" applyBorder="1"/>
    <xf numFmtId="37" fontId="143" fillId="3" borderId="29" xfId="0" applyNumberFormat="1" applyFont="1" applyFill="1" applyBorder="1"/>
    <xf numFmtId="0" fontId="143" fillId="3" borderId="112" xfId="0" applyFont="1" applyFill="1" applyBorder="1"/>
    <xf numFmtId="174" fontId="141" fillId="0" borderId="73" xfId="0" applyNumberFormat="1" applyFont="1" applyBorder="1"/>
    <xf numFmtId="173" fontId="143" fillId="3" borderId="29" xfId="0" applyNumberFormat="1" applyFont="1" applyFill="1" applyBorder="1"/>
    <xf numFmtId="37" fontId="143" fillId="3" borderId="31" xfId="0" applyNumberFormat="1" applyFont="1" applyFill="1" applyBorder="1"/>
    <xf numFmtId="37" fontId="143" fillId="3" borderId="112" xfId="0" applyNumberFormat="1" applyFont="1" applyFill="1" applyBorder="1"/>
    <xf numFmtId="0" fontId="141" fillId="0" borderId="92" xfId="0" applyFont="1" applyBorder="1" applyAlignment="1">
      <alignment horizontal="right"/>
    </xf>
    <xf numFmtId="0" fontId="141" fillId="0" borderId="92" xfId="0" applyFont="1" applyBorder="1"/>
    <xf numFmtId="37" fontId="141" fillId="0" borderId="91" xfId="0" applyNumberFormat="1" applyFont="1" applyBorder="1"/>
    <xf numFmtId="0" fontId="141" fillId="0" borderId="90" xfId="0" applyFont="1" applyBorder="1"/>
    <xf numFmtId="173" fontId="141" fillId="0" borderId="92" xfId="0" applyNumberFormat="1" applyFont="1" applyBorder="1"/>
    <xf numFmtId="37" fontId="141" fillId="0" borderId="92" xfId="0" applyNumberFormat="1" applyFont="1" applyBorder="1"/>
    <xf numFmtId="174" fontId="141" fillId="0" borderId="92" xfId="0" applyNumberFormat="1" applyFont="1" applyBorder="1"/>
    <xf numFmtId="37" fontId="141" fillId="0" borderId="113" xfId="0" applyNumberFormat="1" applyFont="1" applyBorder="1"/>
    <xf numFmtId="9" fontId="131" fillId="0" borderId="0" xfId="0" applyNumberFormat="1" applyFont="1"/>
    <xf numFmtId="37" fontId="141" fillId="0" borderId="90" xfId="0" applyNumberFormat="1" applyFont="1" applyBorder="1"/>
    <xf numFmtId="0" fontId="141" fillId="3" borderId="29" xfId="0" applyFont="1" applyFill="1" applyBorder="1"/>
    <xf numFmtId="3" fontId="143" fillId="3" borderId="29" xfId="0" applyNumberFormat="1" applyFont="1" applyFill="1" applyBorder="1" applyAlignment="1">
      <alignment horizontal="center"/>
    </xf>
    <xf numFmtId="174" fontId="143" fillId="3" borderId="30" xfId="0" applyNumberFormat="1" applyFont="1" applyFill="1" applyBorder="1"/>
    <xf numFmtId="174" fontId="143" fillId="0" borderId="0" xfId="0" applyNumberFormat="1" applyFont="1"/>
    <xf numFmtId="0" fontId="143" fillId="0" borderId="0" xfId="0" applyFont="1"/>
    <xf numFmtId="174" fontId="141" fillId="0" borderId="91" xfId="0" applyNumberFormat="1" applyFont="1" applyBorder="1"/>
    <xf numFmtId="0" fontId="141" fillId="0" borderId="73" xfId="0" applyFont="1" applyBorder="1"/>
    <xf numFmtId="0" fontId="141" fillId="0" borderId="56" xfId="0" applyFont="1" applyBorder="1"/>
    <xf numFmtId="174" fontId="141" fillId="0" borderId="114" xfId="0" applyNumberFormat="1" applyFont="1" applyBorder="1"/>
    <xf numFmtId="174" fontId="143" fillId="0" borderId="92" xfId="0" applyNumberFormat="1" applyFont="1" applyBorder="1"/>
    <xf numFmtId="0" fontId="143" fillId="0" borderId="92" xfId="0" applyFont="1" applyBorder="1"/>
    <xf numFmtId="174" fontId="143" fillId="0" borderId="90" xfId="0" applyNumberFormat="1" applyFont="1" applyBorder="1"/>
    <xf numFmtId="37" fontId="143" fillId="0" borderId="90" xfId="0" applyNumberFormat="1" applyFont="1" applyBorder="1"/>
    <xf numFmtId="37" fontId="141" fillId="0" borderId="94" xfId="0" applyNumberFormat="1" applyFont="1" applyBorder="1"/>
    <xf numFmtId="37" fontId="143" fillId="0" borderId="92" xfId="0" applyNumberFormat="1" applyFont="1" applyBorder="1"/>
    <xf numFmtId="37" fontId="143" fillId="0" borderId="0" xfId="0" applyNumberFormat="1" applyFont="1"/>
    <xf numFmtId="1" fontId="143" fillId="0" borderId="0" xfId="0" applyNumberFormat="1" applyFont="1"/>
    <xf numFmtId="37" fontId="143" fillId="0" borderId="71" xfId="0" applyNumberFormat="1" applyFont="1" applyBorder="1"/>
    <xf numFmtId="174" fontId="143" fillId="0" borderId="71" xfId="0" applyNumberFormat="1" applyFont="1" applyBorder="1"/>
    <xf numFmtId="37" fontId="141" fillId="0" borderId="55" xfId="0" applyNumberFormat="1" applyFont="1" applyBorder="1"/>
    <xf numFmtId="166" fontId="143" fillId="0" borderId="71" xfId="0" applyNumberFormat="1" applyFont="1" applyBorder="1"/>
    <xf numFmtId="174" fontId="141" fillId="3" borderId="31" xfId="0" applyNumberFormat="1" applyFont="1" applyFill="1" applyBorder="1"/>
    <xf numFmtId="174" fontId="141" fillId="3" borderId="29" xfId="0" applyNumberFormat="1" applyFont="1" applyFill="1" applyBorder="1"/>
    <xf numFmtId="37" fontId="141" fillId="3" borderId="112" xfId="0" applyNumberFormat="1" applyFont="1" applyFill="1" applyBorder="1"/>
    <xf numFmtId="0" fontId="143" fillId="6" borderId="19" xfId="0" applyFont="1" applyFill="1" applyBorder="1"/>
    <xf numFmtId="0" fontId="143" fillId="6" borderId="15" xfId="0" applyFont="1" applyFill="1" applyBorder="1"/>
    <xf numFmtId="37" fontId="143" fillId="6" borderId="15" xfId="0" applyNumberFormat="1" applyFont="1" applyFill="1" applyBorder="1"/>
    <xf numFmtId="37" fontId="141" fillId="6" borderId="115" xfId="0" applyNumberFormat="1" applyFont="1" applyFill="1" applyBorder="1"/>
    <xf numFmtId="0" fontId="141" fillId="6" borderId="15" xfId="0" applyFont="1" applyFill="1" applyBorder="1"/>
    <xf numFmtId="37" fontId="141" fillId="6" borderId="15" xfId="0" applyNumberFormat="1" applyFont="1" applyFill="1" applyBorder="1"/>
    <xf numFmtId="37" fontId="141" fillId="6" borderId="116" xfId="0" applyNumberFormat="1" applyFont="1" applyFill="1" applyBorder="1"/>
    <xf numFmtId="37" fontId="141" fillId="6" borderId="1" xfId="0" applyNumberFormat="1" applyFont="1" applyFill="1" applyBorder="1"/>
    <xf numFmtId="174" fontId="141" fillId="6" borderId="1" xfId="0" applyNumberFormat="1" applyFont="1" applyFill="1" applyBorder="1"/>
    <xf numFmtId="174" fontId="141" fillId="6" borderId="116" xfId="0" applyNumberFormat="1" applyFont="1" applyFill="1" applyBorder="1"/>
    <xf numFmtId="174" fontId="141" fillId="6" borderId="15" xfId="0" applyNumberFormat="1" applyFont="1" applyFill="1" applyBorder="1"/>
    <xf numFmtId="37" fontId="141" fillId="6" borderId="117" xfId="0" applyNumberFormat="1" applyFont="1" applyFill="1" applyBorder="1"/>
    <xf numFmtId="174" fontId="141" fillId="0" borderId="99" xfId="0" applyNumberFormat="1" applyFont="1" applyBorder="1"/>
    <xf numFmtId="0" fontId="143" fillId="3" borderId="37" xfId="0" applyFont="1" applyFill="1" applyBorder="1"/>
    <xf numFmtId="0" fontId="143" fillId="3" borderId="38" xfId="0" applyFont="1" applyFill="1" applyBorder="1"/>
    <xf numFmtId="0" fontId="143" fillId="3" borderId="38" xfId="0" applyFont="1" applyFill="1" applyBorder="1" applyAlignment="1">
      <alignment horizontal="center"/>
    </xf>
    <xf numFmtId="174" fontId="143" fillId="3" borderId="38" xfId="0" applyNumberFormat="1" applyFont="1" applyFill="1" applyBorder="1"/>
    <xf numFmtId="37" fontId="143" fillId="3" borderId="118" xfId="0" applyNumberFormat="1" applyFont="1" applyFill="1" applyBorder="1"/>
    <xf numFmtId="37" fontId="143" fillId="3" borderId="38" xfId="0" applyNumberFormat="1" applyFont="1" applyFill="1" applyBorder="1"/>
    <xf numFmtId="37" fontId="143" fillId="3" borderId="119" xfId="0" applyNumberFormat="1" applyFont="1" applyFill="1" applyBorder="1"/>
    <xf numFmtId="174" fontId="143" fillId="3" borderId="120" xfId="0" applyNumberFormat="1" applyFont="1" applyFill="1" applyBorder="1"/>
    <xf numFmtId="0" fontId="143" fillId="3" borderId="119" xfId="0" applyFont="1" applyFill="1" applyBorder="1" applyAlignment="1">
      <alignment horizontal="center"/>
    </xf>
    <xf numFmtId="37" fontId="143" fillId="3" borderId="121" xfId="0" applyNumberFormat="1" applyFont="1" applyFill="1" applyBorder="1"/>
    <xf numFmtId="174" fontId="143" fillId="3" borderId="13" xfId="0" applyNumberFormat="1" applyFont="1" applyFill="1" applyBorder="1"/>
    <xf numFmtId="39" fontId="141" fillId="0" borderId="0" xfId="0" applyNumberFormat="1" applyFont="1"/>
    <xf numFmtId="0" fontId="134" fillId="0" borderId="0" xfId="0" applyFont="1" applyAlignment="1">
      <alignment horizontal="right" vertical="center"/>
    </xf>
    <xf numFmtId="37" fontId="143" fillId="3" borderId="122" xfId="0" applyNumberFormat="1" applyFont="1" applyFill="1" applyBorder="1"/>
    <xf numFmtId="37" fontId="143" fillId="3" borderId="123" xfId="0" applyNumberFormat="1" applyFont="1" applyFill="1" applyBorder="1"/>
    <xf numFmtId="37" fontId="143" fillId="3" borderId="124" xfId="0" applyNumberFormat="1" applyFont="1" applyFill="1" applyBorder="1"/>
    <xf numFmtId="174" fontId="143" fillId="3" borderId="125" xfId="0" applyNumberFormat="1" applyFont="1" applyFill="1" applyBorder="1"/>
    <xf numFmtId="0" fontId="139" fillId="0" borderId="8" xfId="0" applyFont="1" applyBorder="1"/>
    <xf numFmtId="37" fontId="139" fillId="0" borderId="73" xfId="0" applyNumberFormat="1" applyFont="1" applyBorder="1"/>
    <xf numFmtId="0" fontId="139" fillId="0" borderId="73" xfId="0" applyFont="1" applyBorder="1"/>
    <xf numFmtId="0" fontId="139" fillId="0" borderId="55" xfId="0" applyFont="1" applyBorder="1"/>
    <xf numFmtId="0" fontId="139" fillId="0" borderId="56" xfId="0" applyFont="1" applyBorder="1"/>
    <xf numFmtId="0" fontId="139" fillId="0" borderId="9" xfId="0" applyFont="1" applyBorder="1"/>
    <xf numFmtId="174" fontId="143" fillId="3" borderId="39" xfId="0" applyNumberFormat="1" applyFont="1" applyFill="1" applyBorder="1"/>
    <xf numFmtId="176" fontId="139" fillId="0" borderId="0" xfId="0" applyNumberFormat="1" applyFont="1" applyAlignment="1">
      <alignment horizontal="right"/>
    </xf>
    <xf numFmtId="166" fontId="139" fillId="0" borderId="0" xfId="0" applyNumberFormat="1" applyFont="1"/>
    <xf numFmtId="0" fontId="165" fillId="22" borderId="1" xfId="0" applyFont="1" applyFill="1" applyBorder="1"/>
    <xf numFmtId="0" fontId="130" fillId="0" borderId="61" xfId="0" applyFont="1" applyBorder="1" applyAlignment="1">
      <alignment horizontal="center"/>
    </xf>
    <xf numFmtId="0" fontId="130" fillId="0" borderId="61" xfId="0" applyFont="1" applyBorder="1"/>
    <xf numFmtId="1" fontId="129" fillId="2" borderId="1" xfId="0" applyNumberFormat="1" applyFont="1" applyFill="1" applyBorder="1" applyAlignment="1">
      <alignment horizontal="right"/>
    </xf>
    <xf numFmtId="6" fontId="129" fillId="2" borderId="1" xfId="0" applyNumberFormat="1" applyFont="1" applyFill="1" applyBorder="1"/>
    <xf numFmtId="6" fontId="129" fillId="0" borderId="0" xfId="0" applyNumberFormat="1" applyFont="1"/>
    <xf numFmtId="174" fontId="129" fillId="0" borderId="0" xfId="0" applyNumberFormat="1" applyFont="1" applyAlignment="1">
      <alignment horizontal="center"/>
    </xf>
    <xf numFmtId="3" fontId="129" fillId="2" borderId="1" xfId="0" applyNumberFormat="1" applyFont="1" applyFill="1" applyBorder="1" applyAlignment="1">
      <alignment horizontal="right"/>
    </xf>
    <xf numFmtId="1" fontId="130" fillId="2" borderId="1" xfId="0" applyNumberFormat="1" applyFont="1" applyFill="1" applyBorder="1" applyAlignment="1">
      <alignment horizontal="right"/>
    </xf>
    <xf numFmtId="6" fontId="130" fillId="2" borderId="1" xfId="0" applyNumberFormat="1" applyFont="1" applyFill="1" applyBorder="1"/>
    <xf numFmtId="6" fontId="130" fillId="0" borderId="0" xfId="0" applyNumberFormat="1" applyFont="1"/>
    <xf numFmtId="174" fontId="130" fillId="0" borderId="0" xfId="0" applyNumberFormat="1" applyFont="1" applyAlignment="1">
      <alignment horizontal="center"/>
    </xf>
    <xf numFmtId="3" fontId="130" fillId="2" borderId="1" xfId="0" applyNumberFormat="1" applyFont="1" applyFill="1" applyBorder="1" applyAlignment="1">
      <alignment horizontal="right"/>
    </xf>
    <xf numFmtId="1" fontId="130" fillId="0" borderId="126" xfId="0" applyNumberFormat="1" applyFont="1" applyBorder="1" applyAlignment="1">
      <alignment horizontal="right"/>
    </xf>
    <xf numFmtId="6" fontId="130" fillId="0" borderId="126" xfId="0" applyNumberFormat="1" applyFont="1" applyBorder="1"/>
    <xf numFmtId="6" fontId="166" fillId="0" borderId="126" xfId="0" applyNumberFormat="1" applyFont="1" applyBorder="1"/>
    <xf numFmtId="174" fontId="130" fillId="0" borderId="126" xfId="0" applyNumberFormat="1" applyFont="1" applyBorder="1" applyAlignment="1">
      <alignment horizontal="center"/>
    </xf>
    <xf numFmtId="3" fontId="130" fillId="0" borderId="126" xfId="0" applyNumberFormat="1" applyFont="1" applyBorder="1" applyAlignment="1">
      <alignment horizontal="right"/>
    </xf>
    <xf numFmtId="6" fontId="129" fillId="0" borderId="126" xfId="0" applyNumberFormat="1" applyFont="1" applyBorder="1"/>
    <xf numFmtId="174" fontId="167" fillId="0" borderId="0" xfId="0" applyNumberFormat="1" applyFont="1" applyAlignment="1">
      <alignment horizontal="center" vertical="top"/>
    </xf>
    <xf numFmtId="1" fontId="130" fillId="0" borderId="0" xfId="0" applyNumberFormat="1" applyFont="1"/>
    <xf numFmtId="1" fontId="129" fillId="0" borderId="0" xfId="0" applyNumberFormat="1" applyFont="1" applyAlignment="1">
      <alignment horizontal="right"/>
    </xf>
    <xf numFmtId="3" fontId="129" fillId="0" borderId="0" xfId="0" applyNumberFormat="1" applyFont="1" applyAlignment="1">
      <alignment horizontal="right"/>
    </xf>
    <xf numFmtId="1" fontId="130" fillId="0" borderId="0" xfId="0" applyNumberFormat="1" applyFont="1" applyAlignment="1">
      <alignment horizontal="right"/>
    </xf>
    <xf numFmtId="3" fontId="130" fillId="0" borderId="0" xfId="0" applyNumberFormat="1" applyFont="1" applyAlignment="1">
      <alignment horizontal="right"/>
    </xf>
    <xf numFmtId="6" fontId="168" fillId="0" borderId="0" xfId="0" applyNumberFormat="1" applyFont="1" applyAlignment="1">
      <alignment horizontal="center" vertical="center"/>
    </xf>
    <xf numFmtId="0" fontId="130" fillId="0" borderId="61" xfId="0" applyFont="1" applyBorder="1" applyAlignment="1">
      <alignment horizontal="left"/>
    </xf>
    <xf numFmtId="6" fontId="130" fillId="0" borderId="0" xfId="0" applyNumberFormat="1" applyFont="1" applyAlignment="1">
      <alignment horizontal="center"/>
    </xf>
    <xf numFmtId="174" fontId="130" fillId="0" borderId="0" xfId="0" applyNumberFormat="1" applyFont="1" applyAlignment="1">
      <alignment horizontal="right"/>
    </xf>
    <xf numFmtId="0" fontId="130" fillId="0" borderId="130" xfId="0" applyFont="1" applyBorder="1"/>
    <xf numFmtId="0" fontId="130" fillId="0" borderId="63" xfId="0" applyFont="1" applyBorder="1"/>
    <xf numFmtId="0" fontId="130" fillId="0" borderId="131" xfId="0" applyFont="1" applyBorder="1"/>
    <xf numFmtId="1" fontId="130" fillId="0" borderId="0" xfId="0" applyNumberFormat="1" applyFont="1" applyAlignment="1">
      <alignment horizontal="center"/>
    </xf>
    <xf numFmtId="0" fontId="130" fillId="0" borderId="76" xfId="0" applyFont="1" applyBorder="1" applyAlignment="1">
      <alignment horizontal="center"/>
    </xf>
    <xf numFmtId="174" fontId="130" fillId="2" borderId="1" xfId="0" applyNumberFormat="1" applyFont="1" applyFill="1" applyBorder="1" applyAlignment="1">
      <alignment horizontal="center"/>
    </xf>
    <xf numFmtId="6" fontId="130" fillId="0" borderId="62" xfId="0" applyNumberFormat="1" applyFont="1" applyBorder="1"/>
    <xf numFmtId="174" fontId="130" fillId="0" borderId="62" xfId="0" applyNumberFormat="1" applyFont="1" applyBorder="1" applyAlignment="1">
      <alignment horizontal="center"/>
    </xf>
    <xf numFmtId="6" fontId="130" fillId="0" borderId="63" xfId="0" applyNumberFormat="1" applyFont="1" applyBorder="1"/>
    <xf numFmtId="174" fontId="130" fillId="0" borderId="63" xfId="0" applyNumberFormat="1" applyFont="1" applyBorder="1" applyAlignment="1">
      <alignment horizontal="center"/>
    </xf>
    <xf numFmtId="6" fontId="130" fillId="0" borderId="64" xfId="0" applyNumberFormat="1" applyFont="1" applyBorder="1"/>
    <xf numFmtId="174" fontId="130" fillId="0" borderId="64" xfId="0" applyNumberFormat="1" applyFont="1" applyBorder="1" applyAlignment="1">
      <alignment horizontal="center"/>
    </xf>
    <xf numFmtId="3" fontId="130" fillId="0" borderId="0" xfId="0" applyNumberFormat="1" applyFont="1"/>
    <xf numFmtId="174" fontId="130" fillId="0" borderId="0" xfId="0" applyNumberFormat="1" applyFont="1"/>
    <xf numFmtId="10" fontId="131" fillId="0" borderId="0" xfId="0" applyNumberFormat="1" applyFont="1"/>
    <xf numFmtId="0" fontId="169" fillId="0" borderId="0" xfId="0" applyFont="1"/>
    <xf numFmtId="10" fontId="169" fillId="0" borderId="0" xfId="0" applyNumberFormat="1" applyFont="1"/>
    <xf numFmtId="37" fontId="133" fillId="3" borderId="12" xfId="0" applyNumberFormat="1" applyFont="1" applyFill="1" applyBorder="1"/>
    <xf numFmtId="9" fontId="140" fillId="0" borderId="0" xfId="0" applyNumberFormat="1" applyFont="1"/>
    <xf numFmtId="178" fontId="140" fillId="0" borderId="0" xfId="0" applyNumberFormat="1" applyFont="1"/>
    <xf numFmtId="0" fontId="140" fillId="21" borderId="1" xfId="0" applyFont="1" applyFill="1" applyBorder="1"/>
    <xf numFmtId="39" fontId="140" fillId="0" borderId="14" xfId="0" applyNumberFormat="1" applyFont="1" applyBorder="1"/>
    <xf numFmtId="2" fontId="140" fillId="0" borderId="0" xfId="0" applyNumberFormat="1" applyFont="1"/>
    <xf numFmtId="175" fontId="140" fillId="0" borderId="0" xfId="0" applyNumberFormat="1" applyFont="1"/>
    <xf numFmtId="39" fontId="133" fillId="6" borderId="23" xfId="0" applyNumberFormat="1" applyFont="1" applyFill="1" applyBorder="1"/>
    <xf numFmtId="171" fontId="140" fillId="0" borderId="9" xfId="0" applyNumberFormat="1" applyFont="1" applyBorder="1"/>
    <xf numFmtId="39" fontId="133" fillId="0" borderId="0" xfId="0" applyNumberFormat="1" applyFont="1"/>
    <xf numFmtId="174" fontId="139" fillId="0" borderId="0" xfId="0" applyNumberFormat="1" applyFont="1"/>
    <xf numFmtId="3" fontId="139" fillId="0" borderId="0" xfId="0" applyNumberFormat="1" applyFont="1"/>
    <xf numFmtId="4" fontId="139" fillId="0" borderId="0" xfId="0" applyNumberFormat="1" applyFont="1"/>
    <xf numFmtId="9" fontId="139" fillId="0" borderId="0" xfId="0" applyNumberFormat="1" applyFont="1"/>
    <xf numFmtId="2" fontId="131" fillId="0" borderId="0" xfId="0" applyNumberFormat="1" applyFont="1"/>
    <xf numFmtId="0" fontId="143" fillId="10" borderId="52" xfId="0" applyFont="1" applyFill="1" applyBorder="1" applyAlignment="1">
      <alignment horizontal="center"/>
    </xf>
    <xf numFmtId="0" fontId="143" fillId="10" borderId="132" xfId="0" applyFont="1" applyFill="1" applyBorder="1" applyAlignment="1">
      <alignment horizontal="center"/>
    </xf>
    <xf numFmtId="3" fontId="131" fillId="0" borderId="0" xfId="0" applyNumberFormat="1" applyFont="1"/>
    <xf numFmtId="37" fontId="141" fillId="0" borderId="96" xfId="0" applyNumberFormat="1" applyFont="1" applyBorder="1"/>
    <xf numFmtId="37" fontId="143" fillId="3" borderId="133" xfId="0" applyNumberFormat="1" applyFont="1" applyFill="1" applyBorder="1"/>
    <xf numFmtId="37" fontId="141" fillId="0" borderId="134" xfId="0" applyNumberFormat="1" applyFont="1" applyBorder="1"/>
    <xf numFmtId="37" fontId="141" fillId="0" borderId="135" xfId="0" applyNumberFormat="1" applyFont="1" applyBorder="1"/>
    <xf numFmtId="37" fontId="143" fillId="3" borderId="136" xfId="0" applyNumberFormat="1" applyFont="1" applyFill="1" applyBorder="1"/>
    <xf numFmtId="37" fontId="143" fillId="3" borderId="137" xfId="0" applyNumberFormat="1" applyFont="1" applyFill="1" applyBorder="1"/>
    <xf numFmtId="4" fontId="131" fillId="0" borderId="0" xfId="0" applyNumberFormat="1" applyFont="1"/>
    <xf numFmtId="174" fontId="131" fillId="0" borderId="0" xfId="0" applyNumberFormat="1" applyFont="1"/>
    <xf numFmtId="37" fontId="141" fillId="0" borderId="138" xfId="0" applyNumberFormat="1" applyFont="1" applyBorder="1"/>
    <xf numFmtId="171" fontId="139" fillId="0" borderId="0" xfId="0" applyNumberFormat="1" applyFont="1"/>
    <xf numFmtId="0" fontId="141" fillId="0" borderId="134" xfId="0" applyFont="1" applyBorder="1"/>
    <xf numFmtId="0" fontId="141" fillId="0" borderId="55" xfId="0" applyFont="1" applyBorder="1"/>
    <xf numFmtId="37" fontId="141" fillId="6" borderId="139" xfId="0" applyNumberFormat="1" applyFont="1" applyFill="1" applyBorder="1"/>
    <xf numFmtId="39" fontId="141" fillId="0" borderId="56" xfId="0" applyNumberFormat="1" applyFont="1" applyBorder="1"/>
    <xf numFmtId="39" fontId="141" fillId="0" borderId="55" xfId="0" applyNumberFormat="1" applyFont="1" applyBorder="1"/>
    <xf numFmtId="0" fontId="134" fillId="0" borderId="56" xfId="0" applyFont="1" applyBorder="1"/>
    <xf numFmtId="0" fontId="134" fillId="0" borderId="55" xfId="0" applyFont="1" applyBorder="1"/>
    <xf numFmtId="37" fontId="143" fillId="3" borderId="140" xfId="0" applyNumberFormat="1" applyFont="1" applyFill="1" applyBorder="1"/>
    <xf numFmtId="0" fontId="139" fillId="0" borderId="134" xfId="0" applyFont="1" applyBorder="1"/>
    <xf numFmtId="37" fontId="143" fillId="3" borderId="141" xfId="0" applyNumberFormat="1" applyFont="1" applyFill="1" applyBorder="1"/>
    <xf numFmtId="37" fontId="170" fillId="0" borderId="0" xfId="0" applyNumberFormat="1" applyFont="1"/>
    <xf numFmtId="172" fontId="147" fillId="6" borderId="1" xfId="0" applyNumberFormat="1" applyFont="1" applyFill="1" applyBorder="1" applyAlignment="1">
      <alignment horizontal="right"/>
    </xf>
    <xf numFmtId="0" fontId="147" fillId="6" borderId="1" xfId="0" applyFont="1" applyFill="1" applyBorder="1"/>
    <xf numFmtId="9" fontId="139" fillId="6" borderId="1" xfId="0" applyNumberFormat="1" applyFont="1" applyFill="1" applyBorder="1"/>
    <xf numFmtId="0" fontId="146" fillId="6" borderId="1" xfId="0" applyFont="1" applyFill="1" applyBorder="1" applyAlignment="1">
      <alignment horizontal="center"/>
    </xf>
    <xf numFmtId="172" fontId="139" fillId="6" borderId="1" xfId="0" applyNumberFormat="1" applyFont="1" applyFill="1" applyBorder="1" applyAlignment="1">
      <alignment horizontal="center"/>
    </xf>
    <xf numFmtId="0" fontId="171" fillId="6" borderId="1" xfId="0" applyFont="1" applyFill="1" applyBorder="1" applyAlignment="1">
      <alignment horizontal="center"/>
    </xf>
    <xf numFmtId="0" fontId="172" fillId="0" borderId="0" xfId="0" applyFont="1" applyAlignment="1">
      <alignment horizontal="center" vertical="top"/>
    </xf>
    <xf numFmtId="169" fontId="173" fillId="0" borderId="0" xfId="0" applyNumberFormat="1" applyFont="1" applyAlignment="1">
      <alignment horizontal="center" vertical="top"/>
    </xf>
    <xf numFmtId="0" fontId="174" fillId="24" borderId="142" xfId="0" applyFont="1" applyFill="1" applyBorder="1" applyAlignment="1">
      <alignment horizontal="center" vertical="center" wrapText="1"/>
    </xf>
    <xf numFmtId="49" fontId="130" fillId="4" borderId="1" xfId="0" applyNumberFormat="1" applyFont="1" applyFill="1" applyBorder="1" applyAlignment="1">
      <alignment horizontal="left" vertical="center"/>
    </xf>
    <xf numFmtId="0" fontId="130" fillId="4" borderId="1" xfId="0" applyFont="1" applyFill="1" applyBorder="1"/>
    <xf numFmtId="179" fontId="130" fillId="4" borderId="1" xfId="0" applyNumberFormat="1" applyFont="1" applyFill="1" applyBorder="1" applyAlignment="1">
      <alignment horizontal="right" vertical="center"/>
    </xf>
    <xf numFmtId="1" fontId="130" fillId="0" borderId="0" xfId="0" applyNumberFormat="1" applyFont="1" applyAlignment="1">
      <alignment horizontal="left" vertical="top"/>
    </xf>
    <xf numFmtId="49" fontId="130" fillId="0" borderId="0" xfId="0" applyNumberFormat="1" applyFont="1" applyAlignment="1">
      <alignment horizontal="left" vertical="top"/>
    </xf>
    <xf numFmtId="4" fontId="130" fillId="0" borderId="0" xfId="0" applyNumberFormat="1" applyFont="1" applyAlignment="1">
      <alignment horizontal="center" vertical="top"/>
    </xf>
    <xf numFmtId="0" fontId="130" fillId="8" borderId="1" xfId="0" applyFont="1" applyFill="1" applyBorder="1" applyAlignment="1">
      <alignment horizontal="center"/>
    </xf>
    <xf numFmtId="176" fontId="131" fillId="0" borderId="0" xfId="0" applyNumberFormat="1" applyFont="1" applyAlignment="1">
      <alignment horizontal="center"/>
    </xf>
    <xf numFmtId="180" fontId="131" fillId="0" borderId="0" xfId="0" applyNumberFormat="1" applyFont="1" applyAlignment="1">
      <alignment horizontal="center"/>
    </xf>
    <xf numFmtId="169" fontId="130" fillId="0" borderId="0" xfId="0" applyNumberFormat="1" applyFont="1" applyAlignment="1">
      <alignment horizontal="center" vertical="top"/>
    </xf>
    <xf numFmtId="8" fontId="130" fillId="4" borderId="1" xfId="0" applyNumberFormat="1" applyFont="1" applyFill="1" applyBorder="1"/>
    <xf numFmtId="4" fontId="130" fillId="25" borderId="1" xfId="0" applyNumberFormat="1" applyFont="1" applyFill="1" applyBorder="1" applyAlignment="1">
      <alignment horizontal="center" vertical="top"/>
    </xf>
    <xf numFmtId="4" fontId="130" fillId="10" borderId="1" xfId="0" applyNumberFormat="1" applyFont="1" applyFill="1" applyBorder="1" applyAlignment="1">
      <alignment horizontal="center" vertical="top"/>
    </xf>
    <xf numFmtId="0" fontId="130" fillId="4" borderId="1" xfId="0" applyFont="1" applyFill="1" applyBorder="1" applyAlignment="1">
      <alignment horizontal="left" vertical="top"/>
    </xf>
    <xf numFmtId="8" fontId="130" fillId="4" borderId="1" xfId="0" applyNumberFormat="1" applyFont="1" applyFill="1" applyBorder="1" applyAlignment="1">
      <alignment horizontal="left" vertical="top"/>
    </xf>
    <xf numFmtId="1" fontId="130" fillId="4" borderId="1" xfId="0" applyNumberFormat="1" applyFont="1" applyFill="1" applyBorder="1" applyAlignment="1">
      <alignment horizontal="center" vertical="top"/>
    </xf>
    <xf numFmtId="1" fontId="130" fillId="4" borderId="1" xfId="0" applyNumberFormat="1" applyFont="1" applyFill="1" applyBorder="1" applyAlignment="1">
      <alignment horizontal="center"/>
    </xf>
    <xf numFmtId="1" fontId="130" fillId="4" borderId="1" xfId="0" applyNumberFormat="1" applyFont="1" applyFill="1" applyBorder="1" applyAlignment="1">
      <alignment horizontal="center" vertical="center"/>
    </xf>
    <xf numFmtId="49" fontId="130" fillId="26" borderId="1" xfId="0" applyNumberFormat="1" applyFont="1" applyFill="1" applyBorder="1" applyAlignment="1">
      <alignment horizontal="left" vertical="top"/>
    </xf>
    <xf numFmtId="4" fontId="130" fillId="26" borderId="1" xfId="0" applyNumberFormat="1" applyFont="1" applyFill="1" applyBorder="1" applyAlignment="1">
      <alignment horizontal="center" vertical="top"/>
    </xf>
    <xf numFmtId="4" fontId="130" fillId="4" borderId="1" xfId="0" applyNumberFormat="1" applyFont="1" applyFill="1" applyBorder="1"/>
    <xf numFmtId="0" fontId="175" fillId="8" borderId="1" xfId="0" applyFont="1" applyFill="1" applyBorder="1" applyAlignment="1">
      <alignment horizontal="center"/>
    </xf>
    <xf numFmtId="4" fontId="130" fillId="4" borderId="1" xfId="0" applyNumberFormat="1" applyFont="1" applyFill="1" applyBorder="1" applyAlignment="1">
      <alignment horizontal="left" vertical="top"/>
    </xf>
    <xf numFmtId="169" fontId="131" fillId="0" borderId="0" xfId="0" applyNumberFormat="1" applyFont="1"/>
    <xf numFmtId="0" fontId="174" fillId="27" borderId="1" xfId="0" applyFont="1" applyFill="1" applyBorder="1" applyAlignment="1">
      <alignment horizontal="left" vertical="top"/>
    </xf>
    <xf numFmtId="0" fontId="131" fillId="27" borderId="1" xfId="0" applyFont="1" applyFill="1" applyBorder="1" applyAlignment="1">
      <alignment horizontal="center"/>
    </xf>
    <xf numFmtId="0" fontId="129" fillId="7" borderId="1" xfId="0" applyFont="1" applyFill="1" applyBorder="1"/>
    <xf numFmtId="0" fontId="176" fillId="23" borderId="143" xfId="0" applyFont="1" applyFill="1" applyBorder="1" applyAlignment="1">
      <alignment horizontal="left" vertical="top"/>
    </xf>
    <xf numFmtId="49" fontId="177" fillId="23" borderId="143" xfId="0" applyNumberFormat="1" applyFont="1" applyFill="1" applyBorder="1" applyAlignment="1">
      <alignment horizontal="left" vertical="top"/>
    </xf>
    <xf numFmtId="0" fontId="177" fillId="23" borderId="1" xfId="0" applyFont="1" applyFill="1" applyBorder="1" applyAlignment="1">
      <alignment horizontal="left" vertical="top"/>
    </xf>
    <xf numFmtId="0" fontId="130" fillId="23" borderId="1" xfId="0" applyFont="1" applyFill="1" applyBorder="1" applyAlignment="1">
      <alignment horizontal="center"/>
    </xf>
    <xf numFmtId="0" fontId="130" fillId="23" borderId="1" xfId="0" applyFont="1" applyFill="1" applyBorder="1"/>
    <xf numFmtId="49" fontId="130" fillId="23" borderId="1" xfId="0" applyNumberFormat="1" applyFont="1" applyFill="1" applyBorder="1" applyAlignment="1">
      <alignment horizontal="center"/>
    </xf>
    <xf numFmtId="0" fontId="130" fillId="7" borderId="1" xfId="0" applyFont="1" applyFill="1" applyBorder="1"/>
    <xf numFmtId="0" fontId="178" fillId="0" borderId="0" xfId="0" applyFont="1"/>
    <xf numFmtId="0" fontId="177" fillId="23" borderId="143" xfId="0" applyFont="1" applyFill="1" applyBorder="1" applyAlignment="1">
      <alignment horizontal="left" vertical="top"/>
    </xf>
    <xf numFmtId="0" fontId="131" fillId="23" borderId="1" xfId="0" applyFont="1" applyFill="1" applyBorder="1" applyAlignment="1">
      <alignment horizontal="center"/>
    </xf>
    <xf numFmtId="49" fontId="130" fillId="4" borderId="143" xfId="0" applyNumberFormat="1" applyFont="1" applyFill="1" applyBorder="1" applyAlignment="1">
      <alignment horizontal="left" vertical="center"/>
    </xf>
    <xf numFmtId="39" fontId="177" fillId="23" borderId="143" xfId="0" applyNumberFormat="1" applyFont="1" applyFill="1" applyBorder="1" applyAlignment="1">
      <alignment horizontal="left" vertical="top"/>
    </xf>
    <xf numFmtId="1" fontId="176" fillId="23" borderId="143" xfId="0" applyNumberFormat="1" applyFont="1" applyFill="1" applyBorder="1" applyAlignment="1">
      <alignment horizontal="left" vertical="top"/>
    </xf>
    <xf numFmtId="49" fontId="176" fillId="23" borderId="143" xfId="0" applyNumberFormat="1" applyFont="1" applyFill="1" applyBorder="1" applyAlignment="1">
      <alignment horizontal="left" vertical="top"/>
    </xf>
    <xf numFmtId="0" fontId="176" fillId="23" borderId="144" xfId="0" applyFont="1" applyFill="1" applyBorder="1" applyAlignment="1">
      <alignment horizontal="left" vertical="top"/>
    </xf>
    <xf numFmtId="49" fontId="177" fillId="23" borderId="144" xfId="0" applyNumberFormat="1" applyFont="1" applyFill="1" applyBorder="1" applyAlignment="1">
      <alignment horizontal="left" vertical="top"/>
    </xf>
    <xf numFmtId="0" fontId="177" fillId="23" borderId="142" xfId="0" applyFont="1" applyFill="1" applyBorder="1" applyAlignment="1">
      <alignment horizontal="left" vertical="top"/>
    </xf>
    <xf numFmtId="0" fontId="177" fillId="23" borderId="145" xfId="0" applyFont="1" applyFill="1" applyBorder="1" applyAlignment="1">
      <alignment horizontal="left" vertical="top"/>
    </xf>
    <xf numFmtId="0" fontId="177" fillId="23" borderId="144" xfId="0" applyFont="1" applyFill="1" applyBorder="1" applyAlignment="1">
      <alignment horizontal="left" vertical="top"/>
    </xf>
    <xf numFmtId="49" fontId="177" fillId="26" borderId="143" xfId="0" applyNumberFormat="1" applyFont="1" applyFill="1" applyBorder="1" applyAlignment="1">
      <alignment horizontal="left" vertical="top"/>
    </xf>
    <xf numFmtId="49" fontId="177" fillId="23" borderId="1" xfId="0" applyNumberFormat="1" applyFont="1" applyFill="1" applyBorder="1" applyAlignment="1">
      <alignment horizontal="left" vertical="top"/>
    </xf>
    <xf numFmtId="49" fontId="176" fillId="23" borderId="1" xfId="0" applyNumberFormat="1" applyFont="1" applyFill="1" applyBorder="1" applyAlignment="1">
      <alignment horizontal="left" vertical="top"/>
    </xf>
    <xf numFmtId="49" fontId="130" fillId="10" borderId="1" xfId="0" applyNumberFormat="1" applyFont="1" applyFill="1" applyBorder="1" applyAlignment="1">
      <alignment horizontal="left" vertical="top"/>
    </xf>
    <xf numFmtId="39" fontId="177" fillId="23" borderId="146" xfId="0" applyNumberFormat="1" applyFont="1" applyFill="1" applyBorder="1" applyAlignment="1">
      <alignment horizontal="left" vertical="top"/>
    </xf>
    <xf numFmtId="39" fontId="177" fillId="23" borderId="144" xfId="0" applyNumberFormat="1" applyFont="1" applyFill="1" applyBorder="1" applyAlignment="1">
      <alignment horizontal="left" vertical="top"/>
    </xf>
    <xf numFmtId="0" fontId="176" fillId="23" borderId="1" xfId="0" applyFont="1" applyFill="1" applyBorder="1" applyAlignment="1">
      <alignment horizontal="left" vertical="top"/>
    </xf>
    <xf numFmtId="39" fontId="177" fillId="23" borderId="1" xfId="0" applyNumberFormat="1" applyFont="1" applyFill="1" applyBorder="1" applyAlignment="1">
      <alignment horizontal="left" vertical="top"/>
    </xf>
    <xf numFmtId="0" fontId="181" fillId="23" borderId="143" xfId="0" applyFont="1" applyFill="1" applyBorder="1" applyAlignment="1">
      <alignment horizontal="left" vertical="top"/>
    </xf>
    <xf numFmtId="0" fontId="177" fillId="23" borderId="146" xfId="0" applyFont="1" applyFill="1" applyBorder="1" applyAlignment="1">
      <alignment horizontal="left" vertical="top"/>
    </xf>
    <xf numFmtId="0" fontId="182" fillId="28" borderId="143" xfId="0" applyFont="1" applyFill="1" applyBorder="1" applyAlignment="1">
      <alignment horizontal="left" vertical="top"/>
    </xf>
    <xf numFmtId="0" fontId="177" fillId="28" borderId="143" xfId="0" applyFont="1" applyFill="1" applyBorder="1" applyAlignment="1">
      <alignment horizontal="left" vertical="top"/>
    </xf>
    <xf numFmtId="0" fontId="176" fillId="4" borderId="143" xfId="0" applyFont="1" applyFill="1" applyBorder="1" applyAlignment="1">
      <alignment horizontal="left" vertical="top"/>
    </xf>
    <xf numFmtId="0" fontId="177" fillId="4" borderId="143" xfId="0" applyFont="1" applyFill="1" applyBorder="1" applyAlignment="1">
      <alignment horizontal="left" vertical="top"/>
    </xf>
    <xf numFmtId="0" fontId="177" fillId="4" borderId="1" xfId="0" applyFont="1" applyFill="1" applyBorder="1" applyAlignment="1">
      <alignment horizontal="left" vertical="top"/>
    </xf>
    <xf numFmtId="169" fontId="130" fillId="4" borderId="1" xfId="0" applyNumberFormat="1" applyFont="1" applyFill="1" applyBorder="1" applyAlignment="1">
      <alignment horizontal="center" vertical="top"/>
    </xf>
    <xf numFmtId="169" fontId="130" fillId="26" borderId="1" xfId="0" applyNumberFormat="1" applyFont="1" applyFill="1" applyBorder="1" applyAlignment="1">
      <alignment horizontal="center" vertical="top"/>
    </xf>
    <xf numFmtId="4" fontId="130" fillId="4" borderId="1" xfId="0" applyNumberFormat="1" applyFont="1" applyFill="1" applyBorder="1" applyAlignment="1">
      <alignment horizontal="center" vertical="top"/>
    </xf>
    <xf numFmtId="49" fontId="130" fillId="0" borderId="0" xfId="0" applyNumberFormat="1" applyFont="1" applyAlignment="1">
      <alignment horizontal="left" vertical="center"/>
    </xf>
    <xf numFmtId="179" fontId="130" fillId="0" borderId="0" xfId="0" applyNumberFormat="1" applyFont="1" applyAlignment="1">
      <alignment horizontal="right" vertical="center"/>
    </xf>
    <xf numFmtId="0" fontId="130" fillId="0" borderId="0" xfId="0" applyFont="1" applyAlignment="1">
      <alignment horizontal="left" vertical="top"/>
    </xf>
    <xf numFmtId="181" fontId="130" fillId="0" borderId="0" xfId="0" applyNumberFormat="1" applyFont="1" applyAlignment="1">
      <alignment horizontal="right" vertical="top"/>
    </xf>
    <xf numFmtId="1" fontId="176" fillId="23" borderId="147" xfId="0" applyNumberFormat="1" applyFont="1" applyFill="1" applyBorder="1" applyAlignment="1">
      <alignment horizontal="left" vertical="top"/>
    </xf>
    <xf numFmtId="49" fontId="177" fillId="23" borderId="147" xfId="0" applyNumberFormat="1" applyFont="1" applyFill="1" applyBorder="1" applyAlignment="1">
      <alignment horizontal="left" vertical="top"/>
    </xf>
    <xf numFmtId="49" fontId="176" fillId="23" borderId="147" xfId="0" applyNumberFormat="1" applyFont="1" applyFill="1" applyBorder="1" applyAlignment="1">
      <alignment horizontal="left" vertical="top"/>
    </xf>
    <xf numFmtId="1" fontId="176" fillId="4" borderId="143" xfId="0" applyNumberFormat="1" applyFont="1" applyFill="1" applyBorder="1" applyAlignment="1">
      <alignment horizontal="left" vertical="top"/>
    </xf>
    <xf numFmtId="0" fontId="177" fillId="23" borderId="147" xfId="0" applyFont="1" applyFill="1" applyBorder="1" applyAlignment="1">
      <alignment horizontal="left" vertical="top"/>
    </xf>
    <xf numFmtId="0" fontId="177" fillId="23" borderId="148" xfId="0" applyFont="1" applyFill="1" applyBorder="1" applyAlignment="1">
      <alignment horizontal="left" vertical="top"/>
    </xf>
    <xf numFmtId="0" fontId="177" fillId="23" borderId="149" xfId="0" applyFont="1" applyFill="1" applyBorder="1" applyAlignment="1">
      <alignment horizontal="left" vertical="top"/>
    </xf>
    <xf numFmtId="0" fontId="176" fillId="23" borderId="150" xfId="0" applyFont="1" applyFill="1" applyBorder="1" applyAlignment="1">
      <alignment horizontal="left" vertical="top"/>
    </xf>
    <xf numFmtId="39" fontId="177" fillId="23" borderId="149" xfId="0" applyNumberFormat="1" applyFont="1" applyFill="1" applyBorder="1" applyAlignment="1">
      <alignment horizontal="left" vertical="top"/>
    </xf>
    <xf numFmtId="39" fontId="177" fillId="23" borderId="147" xfId="0" applyNumberFormat="1" applyFont="1" applyFill="1" applyBorder="1" applyAlignment="1">
      <alignment horizontal="left" vertical="top"/>
    </xf>
    <xf numFmtId="0" fontId="176" fillId="23" borderId="147" xfId="0" applyFont="1" applyFill="1" applyBorder="1" applyAlignment="1">
      <alignment horizontal="left" vertical="top"/>
    </xf>
    <xf numFmtId="0" fontId="183" fillId="29" borderId="151" xfId="0" applyFont="1" applyFill="1" applyBorder="1"/>
    <xf numFmtId="0" fontId="183" fillId="29" borderId="152" xfId="0" applyFont="1" applyFill="1" applyBorder="1"/>
    <xf numFmtId="0" fontId="183" fillId="29" borderId="153" xfId="0" applyFont="1" applyFill="1" applyBorder="1"/>
    <xf numFmtId="3" fontId="184" fillId="29" borderId="154" xfId="0" applyNumberFormat="1" applyFont="1" applyFill="1" applyBorder="1" applyAlignment="1">
      <alignment horizontal="center"/>
    </xf>
    <xf numFmtId="3" fontId="184" fillId="29" borderId="0" xfId="0" applyNumberFormat="1" applyFont="1" applyFill="1" applyAlignment="1">
      <alignment horizontal="center"/>
    </xf>
    <xf numFmtId="3" fontId="184" fillId="29" borderId="155" xfId="0" applyNumberFormat="1" applyFont="1" applyFill="1" applyBorder="1" applyAlignment="1">
      <alignment horizontal="center"/>
    </xf>
    <xf numFmtId="3" fontId="184" fillId="29" borderId="156" xfId="0" applyNumberFormat="1" applyFont="1" applyFill="1" applyBorder="1" applyAlignment="1">
      <alignment horizontal="center"/>
    </xf>
    <xf numFmtId="3" fontId="184" fillId="29" borderId="157" xfId="0" applyNumberFormat="1" applyFont="1" applyFill="1" applyBorder="1" applyAlignment="1">
      <alignment horizontal="center"/>
    </xf>
    <xf numFmtId="3" fontId="184" fillId="29" borderId="158" xfId="0" applyNumberFormat="1" applyFont="1" applyFill="1" applyBorder="1" applyAlignment="1">
      <alignment horizontal="right"/>
    </xf>
    <xf numFmtId="3" fontId="184" fillId="29" borderId="158" xfId="0" applyNumberFormat="1" applyFont="1" applyFill="1" applyBorder="1" applyAlignment="1" applyProtection="1">
      <alignment horizontal="right"/>
      <protection locked="0"/>
    </xf>
    <xf numFmtId="3" fontId="184" fillId="29" borderId="154" xfId="0" applyNumberFormat="1" applyFont="1" applyFill="1" applyBorder="1"/>
    <xf numFmtId="3" fontId="184" fillId="29" borderId="0" xfId="0" applyNumberFormat="1" applyFont="1" applyFill="1"/>
    <xf numFmtId="3" fontId="184" fillId="29" borderId="155" xfId="0" applyNumberFormat="1" applyFont="1" applyFill="1" applyBorder="1"/>
    <xf numFmtId="3" fontId="184" fillId="29" borderId="154" xfId="0" applyNumberFormat="1" applyFont="1" applyFill="1" applyBorder="1" applyProtection="1">
      <protection locked="0"/>
    </xf>
    <xf numFmtId="3" fontId="184" fillId="29" borderId="155" xfId="0" applyNumberFormat="1" applyFont="1" applyFill="1" applyBorder="1" applyProtection="1">
      <protection locked="0"/>
    </xf>
    <xf numFmtId="3" fontId="183" fillId="29" borderId="159" xfId="0" applyNumberFormat="1" applyFont="1" applyFill="1" applyBorder="1"/>
    <xf numFmtId="3" fontId="183" fillId="29" borderId="160" xfId="0" applyNumberFormat="1" applyFont="1" applyFill="1" applyBorder="1"/>
    <xf numFmtId="3" fontId="183" fillId="29" borderId="161" xfId="0" applyNumberFormat="1" applyFont="1" applyFill="1" applyBorder="1"/>
    <xf numFmtId="0" fontId="184" fillId="29" borderId="154" xfId="0" applyFont="1" applyFill="1" applyBorder="1"/>
    <xf numFmtId="0" fontId="184" fillId="29" borderId="155" xfId="0" applyFont="1" applyFill="1" applyBorder="1"/>
    <xf numFmtId="3" fontId="184" fillId="29" borderId="162" xfId="0" applyNumberFormat="1" applyFont="1" applyFill="1" applyBorder="1"/>
    <xf numFmtId="3" fontId="184" fillId="29" borderId="163" xfId="0" applyNumberFormat="1" applyFont="1" applyFill="1" applyBorder="1"/>
    <xf numFmtId="3" fontId="184" fillId="29" borderId="164" xfId="0" applyNumberFormat="1" applyFont="1" applyFill="1" applyBorder="1"/>
    <xf numFmtId="3" fontId="184" fillId="29" borderId="162" xfId="0" applyNumberFormat="1" applyFont="1" applyFill="1" applyBorder="1" applyProtection="1">
      <protection locked="0"/>
    </xf>
    <xf numFmtId="3" fontId="184" fillId="29" borderId="164" xfId="0" applyNumberFormat="1" applyFont="1" applyFill="1" applyBorder="1" applyProtection="1">
      <protection locked="0"/>
    </xf>
    <xf numFmtId="3" fontId="184" fillId="29" borderId="159" xfId="0" applyNumberFormat="1" applyFont="1" applyFill="1" applyBorder="1"/>
    <xf numFmtId="3" fontId="184" fillId="29" borderId="160" xfId="0" applyNumberFormat="1" applyFont="1" applyFill="1" applyBorder="1"/>
    <xf numFmtId="3" fontId="184" fillId="29" borderId="161" xfId="0" applyNumberFormat="1" applyFont="1" applyFill="1" applyBorder="1"/>
    <xf numFmtId="0" fontId="184" fillId="29" borderId="0" xfId="0" applyFont="1" applyFill="1"/>
    <xf numFmtId="37" fontId="184" fillId="29" borderId="155" xfId="0" applyNumberFormat="1" applyFont="1" applyFill="1" applyBorder="1"/>
    <xf numFmtId="37" fontId="183" fillId="30" borderId="165" xfId="0" applyNumberFormat="1" applyFont="1" applyFill="1" applyBorder="1"/>
    <xf numFmtId="173" fontId="183" fillId="30" borderId="166" xfId="0" applyNumberFormat="1" applyFont="1" applyFill="1" applyBorder="1"/>
    <xf numFmtId="37" fontId="183" fillId="30" borderId="167" xfId="0" applyNumberFormat="1" applyFont="1" applyFill="1" applyBorder="1"/>
    <xf numFmtId="0" fontId="183" fillId="30" borderId="168" xfId="0" applyFont="1" applyFill="1" applyBorder="1"/>
    <xf numFmtId="0" fontId="183" fillId="30" borderId="169" xfId="0" applyFont="1" applyFill="1" applyBorder="1"/>
    <xf numFmtId="0" fontId="183" fillId="30" borderId="170" xfId="0" applyFont="1" applyFill="1" applyBorder="1"/>
    <xf numFmtId="0" fontId="183" fillId="31" borderId="154" xfId="0" applyFont="1" applyFill="1" applyBorder="1"/>
    <xf numFmtId="0" fontId="183" fillId="31" borderId="0" xfId="0" applyFont="1" applyFill="1"/>
    <xf numFmtId="0" fontId="183" fillId="31" borderId="155" xfId="0" applyFont="1" applyFill="1" applyBorder="1"/>
    <xf numFmtId="0" fontId="184" fillId="29" borderId="0" xfId="0" applyFont="1" applyFill="1" applyAlignment="1">
      <alignment horizontal="center"/>
    </xf>
    <xf numFmtId="9" fontId="184" fillId="29" borderId="154" xfId="2" applyFont="1" applyFill="1" applyBorder="1"/>
    <xf numFmtId="37" fontId="184" fillId="29" borderId="0" xfId="0" applyNumberFormat="1" applyFont="1" applyFill="1"/>
    <xf numFmtId="37" fontId="184" fillId="29" borderId="155" xfId="0" applyNumberFormat="1" applyFont="1" applyFill="1" applyBorder="1" applyProtection="1">
      <protection locked="0"/>
    </xf>
    <xf numFmtId="9" fontId="184" fillId="29" borderId="156" xfId="2" applyFont="1" applyFill="1" applyBorder="1"/>
    <xf numFmtId="37" fontId="184" fillId="29" borderId="157" xfId="0" applyNumberFormat="1" applyFont="1" applyFill="1" applyBorder="1"/>
    <xf numFmtId="37" fontId="184" fillId="29" borderId="158" xfId="0" applyNumberFormat="1" applyFont="1" applyFill="1" applyBorder="1"/>
    <xf numFmtId="37" fontId="184" fillId="29" borderId="158" xfId="0" applyNumberFormat="1" applyFont="1" applyFill="1" applyBorder="1" applyProtection="1">
      <protection locked="0"/>
    </xf>
    <xf numFmtId="0" fontId="184" fillId="29" borderId="156" xfId="0" applyFont="1" applyFill="1" applyBorder="1"/>
    <xf numFmtId="0" fontId="183" fillId="30" borderId="171" xfId="0" applyFont="1" applyFill="1" applyBorder="1" applyAlignment="1">
      <alignment horizontal="center"/>
    </xf>
    <xf numFmtId="174" fontId="183" fillId="30" borderId="172" xfId="0" applyNumberFormat="1" applyFont="1" applyFill="1" applyBorder="1"/>
    <xf numFmtId="37" fontId="183" fillId="30" borderId="173" xfId="0" applyNumberFormat="1" applyFont="1" applyFill="1" applyBorder="1"/>
    <xf numFmtId="0" fontId="184" fillId="29" borderId="159" xfId="0" applyFont="1" applyFill="1" applyBorder="1"/>
    <xf numFmtId="0" fontId="184" fillId="29" borderId="160" xfId="0" applyFont="1" applyFill="1" applyBorder="1"/>
    <xf numFmtId="37" fontId="184" fillId="29" borderId="161" xfId="0" applyNumberFormat="1" applyFont="1" applyFill="1" applyBorder="1"/>
    <xf numFmtId="37" fontId="184" fillId="29" borderId="161" xfId="0" applyNumberFormat="1" applyFont="1" applyFill="1" applyBorder="1" applyProtection="1">
      <protection locked="0"/>
    </xf>
    <xf numFmtId="0" fontId="184" fillId="29" borderId="157" xfId="0" applyFont="1" applyFill="1" applyBorder="1"/>
    <xf numFmtId="0" fontId="184" fillId="29" borderId="162" xfId="0" applyFont="1" applyFill="1" applyBorder="1"/>
    <xf numFmtId="0" fontId="184" fillId="29" borderId="163" xfId="0" applyFont="1" applyFill="1" applyBorder="1"/>
    <xf numFmtId="37" fontId="184" fillId="29" borderId="164" xfId="0" applyNumberFormat="1" applyFont="1" applyFill="1" applyBorder="1"/>
    <xf numFmtId="37" fontId="184" fillId="29" borderId="164" xfId="0" applyNumberFormat="1" applyFont="1" applyFill="1" applyBorder="1" applyProtection="1">
      <protection locked="0"/>
    </xf>
    <xf numFmtId="37" fontId="183" fillId="30" borderId="174" xfId="0" applyNumberFormat="1" applyFont="1" applyFill="1" applyBorder="1"/>
    <xf numFmtId="0" fontId="183" fillId="30" borderId="175" xfId="0" applyFont="1" applyFill="1" applyBorder="1" applyAlignment="1">
      <alignment horizontal="center"/>
    </xf>
    <xf numFmtId="174" fontId="183" fillId="30" borderId="176" xfId="0" applyNumberFormat="1" applyFont="1" applyFill="1" applyBorder="1"/>
    <xf numFmtId="37" fontId="183" fillId="30" borderId="177" xfId="0" applyNumberFormat="1" applyFont="1" applyFill="1" applyBorder="1"/>
    <xf numFmtId="0" fontId="184" fillId="31" borderId="156" xfId="0" applyFont="1" applyFill="1" applyBorder="1"/>
    <xf numFmtId="0" fontId="184" fillId="31" borderId="157" xfId="0" applyFont="1" applyFill="1" applyBorder="1"/>
    <xf numFmtId="37" fontId="183" fillId="31" borderId="155" xfId="0" applyNumberFormat="1" applyFont="1" applyFill="1" applyBorder="1"/>
    <xf numFmtId="0" fontId="184" fillId="30" borderId="178" xfId="0" applyFont="1" applyFill="1" applyBorder="1"/>
    <xf numFmtId="0" fontId="184" fillId="30" borderId="179" xfId="0" applyFont="1" applyFill="1" applyBorder="1"/>
    <xf numFmtId="37" fontId="183" fillId="30" borderId="180" xfId="0" applyNumberFormat="1" applyFont="1" applyFill="1" applyBorder="1"/>
    <xf numFmtId="0" fontId="185" fillId="29" borderId="0" xfId="0" applyFont="1" applyFill="1"/>
    <xf numFmtId="37" fontId="185" fillId="29" borderId="0" xfId="0" applyNumberFormat="1" applyFont="1" applyFill="1"/>
    <xf numFmtId="0" fontId="186" fillId="29" borderId="0" xfId="0" applyFont="1" applyFill="1"/>
    <xf numFmtId="0" fontId="187" fillId="29" borderId="0" xfId="0" applyFont="1" applyFill="1"/>
    <xf numFmtId="0" fontId="184" fillId="29" borderId="154" xfId="0" applyFont="1" applyFill="1" applyBorder="1" applyAlignment="1">
      <alignment horizontal="center"/>
    </xf>
    <xf numFmtId="0" fontId="184" fillId="29" borderId="155" xfId="0" applyFont="1" applyFill="1" applyBorder="1" applyAlignment="1">
      <alignment horizontal="center"/>
    </xf>
    <xf numFmtId="3" fontId="184" fillId="29" borderId="158" xfId="0" applyNumberFormat="1" applyFont="1" applyFill="1" applyBorder="1" applyAlignment="1" applyProtection="1">
      <alignment horizontal="center"/>
      <protection locked="0"/>
    </xf>
    <xf numFmtId="3" fontId="184" fillId="29" borderId="156" xfId="0" applyNumberFormat="1" applyFont="1" applyFill="1" applyBorder="1"/>
    <xf numFmtId="3" fontId="184" fillId="29" borderId="157" xfId="0" applyNumberFormat="1" applyFont="1" applyFill="1" applyBorder="1"/>
    <xf numFmtId="3" fontId="184" fillId="29" borderId="158" xfId="0" applyNumberFormat="1" applyFont="1" applyFill="1" applyBorder="1"/>
    <xf numFmtId="0" fontId="183" fillId="29" borderId="154" xfId="0" applyFont="1" applyFill="1" applyBorder="1"/>
    <xf numFmtId="0" fontId="183" fillId="29" borderId="0" xfId="0" applyFont="1" applyFill="1"/>
    <xf numFmtId="0" fontId="183" fillId="29" borderId="155" xfId="0" applyFont="1" applyFill="1" applyBorder="1"/>
    <xf numFmtId="0" fontId="184" fillId="29" borderId="154" xfId="0" applyFont="1" applyFill="1" applyBorder="1" applyAlignment="1">
      <alignment horizontal="right"/>
    </xf>
    <xf numFmtId="174" fontId="184" fillId="29" borderId="0" xfId="0" applyNumberFormat="1" applyFont="1" applyFill="1"/>
    <xf numFmtId="0" fontId="183" fillId="30" borderId="181" xfId="0" applyFont="1" applyFill="1" applyBorder="1" applyAlignment="1">
      <alignment horizontal="center"/>
    </xf>
    <xf numFmtId="174" fontId="183" fillId="30" borderId="182" xfId="0" applyNumberFormat="1" applyFont="1" applyFill="1" applyBorder="1"/>
    <xf numFmtId="0" fontId="183" fillId="30" borderId="178" xfId="0" applyFont="1" applyFill="1" applyBorder="1"/>
    <xf numFmtId="0" fontId="183" fillId="30" borderId="179" xfId="0" applyFont="1" applyFill="1" applyBorder="1"/>
    <xf numFmtId="37" fontId="186" fillId="29" borderId="0" xfId="0" applyNumberFormat="1" applyFont="1" applyFill="1"/>
    <xf numFmtId="37" fontId="184" fillId="29" borderId="154" xfId="0" applyNumberFormat="1" applyFont="1" applyFill="1" applyBorder="1"/>
    <xf numFmtId="37" fontId="184" fillId="29" borderId="154" xfId="0" applyNumberFormat="1" applyFont="1" applyFill="1" applyBorder="1" applyProtection="1">
      <protection locked="0"/>
    </xf>
    <xf numFmtId="37" fontId="184" fillId="29" borderId="0" xfId="0" applyNumberFormat="1" applyFont="1" applyFill="1" applyProtection="1">
      <protection locked="0"/>
    </xf>
    <xf numFmtId="174" fontId="184" fillId="29" borderId="155" xfId="0" applyNumberFormat="1" applyFont="1" applyFill="1" applyBorder="1"/>
    <xf numFmtId="37" fontId="184" fillId="29" borderId="156" xfId="0" applyNumberFormat="1" applyFont="1" applyFill="1" applyBorder="1"/>
    <xf numFmtId="2" fontId="184" fillId="29" borderId="157" xfId="0" applyNumberFormat="1" applyFont="1" applyFill="1" applyBorder="1"/>
    <xf numFmtId="174" fontId="184" fillId="29" borderId="158" xfId="0" applyNumberFormat="1" applyFont="1" applyFill="1" applyBorder="1"/>
    <xf numFmtId="37" fontId="184" fillId="29" borderId="159" xfId="0" applyNumberFormat="1" applyFont="1" applyFill="1" applyBorder="1"/>
    <xf numFmtId="37" fontId="184" fillId="29" borderId="160" xfId="0" applyNumberFormat="1" applyFont="1" applyFill="1" applyBorder="1"/>
    <xf numFmtId="37" fontId="184" fillId="29" borderId="159" xfId="0" applyNumberFormat="1" applyFont="1" applyFill="1" applyBorder="1" applyProtection="1">
      <protection locked="0"/>
    </xf>
    <xf numFmtId="37" fontId="184" fillId="29" borderId="160" xfId="0" applyNumberFormat="1" applyFont="1" applyFill="1" applyBorder="1" applyProtection="1">
      <protection locked="0"/>
    </xf>
    <xf numFmtId="173" fontId="184" fillId="29" borderId="0" xfId="0" applyNumberFormat="1" applyFont="1" applyFill="1"/>
    <xf numFmtId="175" fontId="184" fillId="29" borderId="0" xfId="0" applyNumberFormat="1" applyFont="1" applyFill="1"/>
    <xf numFmtId="37" fontId="183" fillId="29" borderId="154" xfId="0" applyNumberFormat="1" applyFont="1" applyFill="1" applyBorder="1"/>
    <xf numFmtId="173" fontId="183" fillId="29" borderId="0" xfId="0" applyNumberFormat="1" applyFont="1" applyFill="1"/>
    <xf numFmtId="37" fontId="183" fillId="29" borderId="156" xfId="0" applyNumberFormat="1" applyFont="1" applyFill="1" applyBorder="1"/>
    <xf numFmtId="175" fontId="184" fillId="29" borderId="157" xfId="0" applyNumberFormat="1" applyFont="1" applyFill="1" applyBorder="1"/>
    <xf numFmtId="37" fontId="183" fillId="31" borderId="165" xfId="0" applyNumberFormat="1" applyFont="1" applyFill="1" applyBorder="1"/>
    <xf numFmtId="37" fontId="183" fillId="31" borderId="166" xfId="0" applyNumberFormat="1" applyFont="1" applyFill="1" applyBorder="1"/>
    <xf numFmtId="37" fontId="183" fillId="31" borderId="167" xfId="0" applyNumberFormat="1" applyFont="1" applyFill="1" applyBorder="1"/>
    <xf numFmtId="37" fontId="183" fillId="31" borderId="156" xfId="0" applyNumberFormat="1" applyFont="1" applyFill="1" applyBorder="1"/>
    <xf numFmtId="39" fontId="183" fillId="31" borderId="157" xfId="0" applyNumberFormat="1" applyFont="1" applyFill="1" applyBorder="1"/>
    <xf numFmtId="174" fontId="183" fillId="29" borderId="155" xfId="0" applyNumberFormat="1" applyFont="1" applyFill="1" applyBorder="1"/>
    <xf numFmtId="37" fontId="184" fillId="29" borderId="183" xfId="0" applyNumberFormat="1" applyFont="1" applyFill="1" applyBorder="1"/>
    <xf numFmtId="173" fontId="184" fillId="29" borderId="0" xfId="0" applyNumberFormat="1" applyFont="1" applyFill="1" applyProtection="1">
      <protection locked="0"/>
    </xf>
    <xf numFmtId="173" fontId="184" fillId="29" borderId="160" xfId="0" applyNumberFormat="1" applyFont="1" applyFill="1" applyBorder="1"/>
    <xf numFmtId="173" fontId="184" fillId="29" borderId="160" xfId="0" applyNumberFormat="1" applyFont="1" applyFill="1" applyBorder="1" applyProtection="1">
      <protection locked="0"/>
    </xf>
    <xf numFmtId="173" fontId="184" fillId="29" borderId="157" xfId="0" applyNumberFormat="1" applyFont="1" applyFill="1" applyBorder="1"/>
    <xf numFmtId="37" fontId="183" fillId="31" borderId="159" xfId="0" applyNumberFormat="1" applyFont="1" applyFill="1" applyBorder="1"/>
    <xf numFmtId="173" fontId="183" fillId="31" borderId="160" xfId="0" applyNumberFormat="1" applyFont="1" applyFill="1" applyBorder="1"/>
    <xf numFmtId="37" fontId="183" fillId="31" borderId="161" xfId="0" applyNumberFormat="1" applyFont="1" applyFill="1" applyBorder="1"/>
    <xf numFmtId="37" fontId="183" fillId="30" borderId="166" xfId="0" applyNumberFormat="1" applyFont="1" applyFill="1" applyBorder="1"/>
    <xf numFmtId="174" fontId="183" fillId="30" borderId="170" xfId="0" applyNumberFormat="1" applyFont="1" applyFill="1" applyBorder="1"/>
    <xf numFmtId="174" fontId="183" fillId="31" borderId="155" xfId="0" applyNumberFormat="1" applyFont="1" applyFill="1" applyBorder="1"/>
    <xf numFmtId="37" fontId="183" fillId="29" borderId="159" xfId="0" applyNumberFormat="1" applyFont="1" applyFill="1" applyBorder="1"/>
    <xf numFmtId="174" fontId="183" fillId="29" borderId="160" xfId="0" applyNumberFormat="1" applyFont="1" applyFill="1" applyBorder="1"/>
    <xf numFmtId="37" fontId="183" fillId="29" borderId="161" xfId="0" applyNumberFormat="1" applyFont="1" applyFill="1" applyBorder="1"/>
    <xf numFmtId="0" fontId="184" fillId="29" borderId="158" xfId="0" applyFont="1" applyFill="1" applyBorder="1"/>
    <xf numFmtId="174" fontId="184" fillId="29" borderId="0" xfId="2" applyNumberFormat="1" applyFont="1" applyFill="1"/>
    <xf numFmtId="37" fontId="184" fillId="29" borderId="162" xfId="0" applyNumberFormat="1" applyFont="1" applyFill="1" applyBorder="1"/>
    <xf numFmtId="174" fontId="184" fillId="29" borderId="163" xfId="0" applyNumberFormat="1" applyFont="1" applyFill="1" applyBorder="1"/>
    <xf numFmtId="37" fontId="184" fillId="29" borderId="162" xfId="0" applyNumberFormat="1" applyFont="1" applyFill="1" applyBorder="1" applyProtection="1">
      <protection locked="0"/>
    </xf>
    <xf numFmtId="174" fontId="183" fillId="30" borderId="166" xfId="0" applyNumberFormat="1" applyFont="1" applyFill="1" applyBorder="1"/>
    <xf numFmtId="37" fontId="183" fillId="30" borderId="184" xfId="0" applyNumberFormat="1" applyFont="1" applyFill="1" applyBorder="1"/>
    <xf numFmtId="173" fontId="183" fillId="30" borderId="185" xfId="0" applyNumberFormat="1" applyFont="1" applyFill="1" applyBorder="1"/>
    <xf numFmtId="37" fontId="183" fillId="30" borderId="186" xfId="0" applyNumberFormat="1" applyFont="1" applyFill="1" applyBorder="1"/>
    <xf numFmtId="37" fontId="183" fillId="31" borderId="154" xfId="0" applyNumberFormat="1" applyFont="1" applyFill="1" applyBorder="1"/>
    <xf numFmtId="173" fontId="183" fillId="31" borderId="0" xfId="0" applyNumberFormat="1" applyFont="1" applyFill="1"/>
    <xf numFmtId="37" fontId="183" fillId="29" borderId="0" xfId="0" applyNumberFormat="1" applyFont="1" applyFill="1"/>
    <xf numFmtId="0" fontId="184" fillId="30" borderId="187" xfId="0" applyFont="1" applyFill="1" applyBorder="1"/>
    <xf numFmtId="0" fontId="184" fillId="30" borderId="188" xfId="0" applyFont="1" applyFill="1" applyBorder="1"/>
    <xf numFmtId="37" fontId="183" fillId="30" borderId="189" xfId="0" applyNumberFormat="1" applyFont="1" applyFill="1" applyBorder="1"/>
    <xf numFmtId="37" fontId="187" fillId="29" borderId="0" xfId="0" applyNumberFormat="1" applyFont="1" applyFill="1"/>
    <xf numFmtId="0" fontId="186" fillId="29" borderId="0" xfId="0" applyFont="1" applyFill="1" applyAlignment="1">
      <alignment horizontal="center"/>
    </xf>
    <xf numFmtId="0" fontId="186" fillId="29" borderId="169" xfId="0" applyFont="1" applyFill="1" applyBorder="1" applyAlignment="1">
      <alignment horizontal="center"/>
    </xf>
    <xf numFmtId="37" fontId="186" fillId="29" borderId="169" xfId="0" applyNumberFormat="1" applyFont="1" applyFill="1" applyBorder="1" applyAlignment="1">
      <alignment horizontal="center"/>
    </xf>
    <xf numFmtId="0" fontId="184" fillId="29" borderId="190" xfId="0" applyFont="1" applyFill="1" applyBorder="1" applyAlignment="1">
      <alignment horizontal="center"/>
    </xf>
    <xf numFmtId="0" fontId="184" fillId="29" borderId="157" xfId="0" applyFont="1" applyFill="1" applyBorder="1" applyAlignment="1">
      <alignment horizontal="center"/>
    </xf>
    <xf numFmtId="0" fontId="184" fillId="29" borderId="191" xfId="0" applyFont="1" applyFill="1" applyBorder="1" applyAlignment="1">
      <alignment horizontal="center"/>
    </xf>
    <xf numFmtId="37" fontId="188" fillId="29" borderId="190" xfId="0" applyNumberFormat="1" applyFont="1" applyFill="1" applyBorder="1"/>
    <xf numFmtId="37" fontId="188" fillId="29" borderId="157" xfId="0" applyNumberFormat="1" applyFont="1" applyFill="1" applyBorder="1"/>
    <xf numFmtId="37" fontId="188" fillId="29" borderId="191" xfId="0" applyNumberFormat="1" applyFont="1" applyFill="1" applyBorder="1"/>
    <xf numFmtId="37" fontId="189" fillId="30" borderId="190" xfId="0" applyNumberFormat="1" applyFont="1" applyFill="1" applyBorder="1"/>
    <xf numFmtId="37" fontId="189" fillId="30" borderId="157" xfId="0" applyNumberFormat="1" applyFont="1" applyFill="1" applyBorder="1"/>
    <xf numFmtId="37" fontId="189" fillId="30" borderId="191" xfId="0" applyNumberFormat="1" applyFont="1" applyFill="1" applyBorder="1"/>
    <xf numFmtId="37" fontId="188" fillId="29" borderId="192" xfId="0" applyNumberFormat="1" applyFont="1" applyFill="1" applyBorder="1"/>
    <xf numFmtId="0" fontId="188" fillId="29" borderId="0" xfId="0" applyFont="1" applyFill="1"/>
    <xf numFmtId="37" fontId="188" fillId="29" borderId="193" xfId="0" applyNumberFormat="1" applyFont="1" applyFill="1" applyBorder="1"/>
    <xf numFmtId="174" fontId="188" fillId="29" borderId="192" xfId="2" applyNumberFormat="1" applyFont="1" applyFill="1" applyBorder="1"/>
    <xf numFmtId="173" fontId="188" fillId="29" borderId="0" xfId="0" applyNumberFormat="1" applyFont="1" applyFill="1"/>
    <xf numFmtId="0" fontId="188" fillId="29" borderId="192" xfId="0" applyFont="1" applyFill="1" applyBorder="1"/>
    <xf numFmtId="174" fontId="188" fillId="29" borderId="190" xfId="2" applyNumberFormat="1" applyFont="1" applyFill="1" applyBorder="1"/>
    <xf numFmtId="173" fontId="188" fillId="29" borderId="157" xfId="0" applyNumberFormat="1" applyFont="1" applyFill="1" applyBorder="1"/>
    <xf numFmtId="0" fontId="188" fillId="29" borderId="190" xfId="0" applyFont="1" applyFill="1" applyBorder="1"/>
    <xf numFmtId="174" fontId="189" fillId="30" borderId="194" xfId="0" applyNumberFormat="1" applyFont="1" applyFill="1" applyBorder="1"/>
    <xf numFmtId="171" fontId="189" fillId="30" borderId="172" xfId="1" applyNumberFormat="1" applyFont="1" applyFill="1" applyBorder="1"/>
    <xf numFmtId="37" fontId="189" fillId="30" borderId="195" xfId="0" applyNumberFormat="1" applyFont="1" applyFill="1" applyBorder="1"/>
    <xf numFmtId="0" fontId="189" fillId="30" borderId="172" xfId="0" applyFont="1" applyFill="1" applyBorder="1"/>
    <xf numFmtId="37" fontId="188" fillId="29" borderId="193" xfId="0" applyNumberFormat="1" applyFont="1" applyFill="1" applyBorder="1" applyProtection="1">
      <protection locked="0"/>
    </xf>
    <xf numFmtId="174" fontId="188" fillId="29" borderId="157" xfId="2" applyNumberFormat="1" applyFont="1" applyFill="1" applyBorder="1"/>
    <xf numFmtId="174" fontId="188" fillId="29" borderId="0" xfId="2" applyNumberFormat="1" applyFont="1" applyFill="1"/>
    <xf numFmtId="173" fontId="189" fillId="30" borderId="172" xfId="0" applyNumberFormat="1" applyFont="1" applyFill="1" applyBorder="1"/>
    <xf numFmtId="0" fontId="188" fillId="29" borderId="196" xfId="0" applyFont="1" applyFill="1" applyBorder="1"/>
    <xf numFmtId="173" fontId="188" fillId="29" borderId="160" xfId="0" applyNumberFormat="1" applyFont="1" applyFill="1" applyBorder="1"/>
    <xf numFmtId="37" fontId="188" fillId="29" borderId="197" xfId="0" applyNumberFormat="1" applyFont="1" applyFill="1" applyBorder="1"/>
    <xf numFmtId="0" fontId="188" fillId="29" borderId="198" xfId="0" applyFont="1" applyFill="1" applyBorder="1"/>
    <xf numFmtId="173" fontId="188" fillId="29" borderId="163" xfId="0" applyNumberFormat="1" applyFont="1" applyFill="1" applyBorder="1"/>
    <xf numFmtId="37" fontId="188" fillId="29" borderId="199" xfId="0" applyNumberFormat="1" applyFont="1" applyFill="1" applyBorder="1"/>
    <xf numFmtId="0" fontId="188" fillId="29" borderId="200" xfId="0" applyFont="1" applyFill="1" applyBorder="1"/>
    <xf numFmtId="173" fontId="188" fillId="29" borderId="201" xfId="0" applyNumberFormat="1" applyFont="1" applyFill="1" applyBorder="1"/>
    <xf numFmtId="37" fontId="188" fillId="29" borderId="191" xfId="0" applyNumberFormat="1" applyFont="1" applyFill="1" applyBorder="1" applyProtection="1">
      <protection locked="0"/>
    </xf>
    <xf numFmtId="0" fontId="190" fillId="29" borderId="192" xfId="0" applyFont="1" applyFill="1" applyBorder="1"/>
    <xf numFmtId="0" fontId="190" fillId="29" borderId="0" xfId="0" applyFont="1" applyFill="1"/>
    <xf numFmtId="37" fontId="190" fillId="29" borderId="193" xfId="0" applyNumberFormat="1" applyFont="1" applyFill="1" applyBorder="1"/>
    <xf numFmtId="174" fontId="189" fillId="29" borderId="196" xfId="0" applyNumberFormat="1" applyFont="1" applyFill="1" applyBorder="1"/>
    <xf numFmtId="0" fontId="189" fillId="29" borderId="160" xfId="0" applyFont="1" applyFill="1" applyBorder="1"/>
    <xf numFmtId="37" fontId="188" fillId="31" borderId="197" xfId="0" applyNumberFormat="1" applyFont="1" applyFill="1" applyBorder="1"/>
    <xf numFmtId="174" fontId="189" fillId="29" borderId="192" xfId="0" applyNumberFormat="1" applyFont="1" applyFill="1" applyBorder="1"/>
    <xf numFmtId="0" fontId="189" fillId="29" borderId="0" xfId="0" applyFont="1" applyFill="1"/>
    <xf numFmtId="174" fontId="189" fillId="29" borderId="190" xfId="0" applyNumberFormat="1" applyFont="1" applyFill="1" applyBorder="1"/>
    <xf numFmtId="0" fontId="188" fillId="30" borderId="172" xfId="0" applyFont="1" applyFill="1" applyBorder="1"/>
    <xf numFmtId="0" fontId="191" fillId="31" borderId="196" xfId="0" applyFont="1" applyFill="1" applyBorder="1"/>
    <xf numFmtId="0" fontId="190" fillId="31" borderId="160" xfId="0" applyFont="1" applyFill="1" applyBorder="1"/>
    <xf numFmtId="37" fontId="190" fillId="31" borderId="197" xfId="0" applyNumberFormat="1" applyFont="1" applyFill="1" applyBorder="1"/>
    <xf numFmtId="0" fontId="189" fillId="30" borderId="202" xfId="0" applyFont="1" applyFill="1" applyBorder="1" applyAlignment="1">
      <alignment horizontal="center"/>
    </xf>
    <xf numFmtId="174" fontId="189" fillId="30" borderId="203" xfId="0" applyNumberFormat="1" applyFont="1" applyFill="1" applyBorder="1"/>
    <xf numFmtId="37" fontId="189" fillId="30" borderId="204" xfId="0" applyNumberFormat="1" applyFont="1" applyFill="1" applyBorder="1"/>
    <xf numFmtId="0" fontId="189" fillId="30" borderId="205" xfId="0" applyFont="1" applyFill="1" applyBorder="1" applyAlignment="1">
      <alignment horizontal="center"/>
    </xf>
    <xf numFmtId="174" fontId="189" fillId="30" borderId="188" xfId="0" applyNumberFormat="1" applyFont="1" applyFill="1" applyBorder="1"/>
    <xf numFmtId="37" fontId="189" fillId="30" borderId="206" xfId="0" applyNumberFormat="1" applyFont="1" applyFill="1" applyBorder="1"/>
    <xf numFmtId="39" fontId="188" fillId="29" borderId="0" xfId="0" applyNumberFormat="1" applyFont="1" applyFill="1"/>
    <xf numFmtId="0" fontId="189" fillId="30" borderId="207" xfId="0" applyFont="1" applyFill="1" applyBorder="1" applyAlignment="1">
      <alignment horizontal="center"/>
    </xf>
    <xf numFmtId="174" fontId="189" fillId="30" borderId="207" xfId="0" applyNumberFormat="1" applyFont="1" applyFill="1" applyBorder="1"/>
    <xf numFmtId="37" fontId="189" fillId="30" borderId="207" xfId="0" applyNumberFormat="1" applyFont="1" applyFill="1" applyBorder="1"/>
    <xf numFmtId="0" fontId="189" fillId="30" borderId="208" xfId="0" applyFont="1" applyFill="1" applyBorder="1" applyAlignment="1">
      <alignment horizontal="center"/>
    </xf>
    <xf numFmtId="37" fontId="189" fillId="30" borderId="209" xfId="0" applyNumberFormat="1" applyFont="1" applyFill="1" applyBorder="1"/>
    <xf numFmtId="0" fontId="192" fillId="29" borderId="0" xfId="0" applyFont="1" applyFill="1"/>
    <xf numFmtId="0" fontId="192" fillId="29" borderId="192" xfId="0" applyFont="1" applyFill="1" applyBorder="1"/>
    <xf numFmtId="0" fontId="192" fillId="29" borderId="193" xfId="0" applyFont="1" applyFill="1" applyBorder="1"/>
    <xf numFmtId="37" fontId="188" fillId="29" borderId="0" xfId="0" applyNumberFormat="1" applyFont="1" applyFill="1"/>
    <xf numFmtId="0" fontId="186" fillId="29" borderId="192" xfId="0" applyFont="1" applyFill="1" applyBorder="1"/>
    <xf numFmtId="0" fontId="184" fillId="29" borderId="192" xfId="0" applyFont="1" applyFill="1" applyBorder="1"/>
    <xf numFmtId="0" fontId="183" fillId="29" borderId="192" xfId="0" applyFont="1" applyFill="1" applyBorder="1"/>
    <xf numFmtId="0" fontId="189" fillId="30" borderId="210" xfId="0" applyFont="1" applyFill="1" applyBorder="1" applyAlignment="1">
      <alignment horizontal="center"/>
    </xf>
    <xf numFmtId="174" fontId="189" fillId="30" borderId="210" xfId="0" applyNumberFormat="1" applyFont="1" applyFill="1" applyBorder="1"/>
    <xf numFmtId="37" fontId="189" fillId="30" borderId="210" xfId="0" applyNumberFormat="1" applyFont="1" applyFill="1" applyBorder="1"/>
    <xf numFmtId="0" fontId="189" fillId="30" borderId="211" xfId="0" applyFont="1" applyFill="1" applyBorder="1" applyAlignment="1">
      <alignment horizontal="center"/>
    </xf>
    <xf numFmtId="37" fontId="189" fillId="30" borderId="212" xfId="0" applyNumberFormat="1" applyFont="1" applyFill="1" applyBorder="1"/>
    <xf numFmtId="0" fontId="161" fillId="32" borderId="1" xfId="0" applyFont="1" applyFill="1" applyBorder="1"/>
    <xf numFmtId="0" fontId="161" fillId="32" borderId="1" xfId="0" applyFont="1" applyFill="1" applyBorder="1" applyAlignment="1">
      <alignment horizontal="center" vertical="center"/>
    </xf>
    <xf numFmtId="0" fontId="161" fillId="32" borderId="1" xfId="0" applyFont="1" applyFill="1" applyBorder="1" applyAlignment="1">
      <alignment horizontal="right"/>
    </xf>
    <xf numFmtId="174" fontId="133" fillId="3" borderId="13" xfId="2" applyNumberFormat="1" applyFont="1" applyFill="1" applyBorder="1"/>
    <xf numFmtId="3" fontId="140" fillId="0" borderId="95" xfId="0" applyNumberFormat="1" applyFont="1" applyBorder="1"/>
    <xf numFmtId="3" fontId="140" fillId="0" borderId="21" xfId="0" applyNumberFormat="1" applyFont="1" applyBorder="1"/>
    <xf numFmtId="174" fontId="133" fillId="3" borderId="36" xfId="2" applyNumberFormat="1" applyFont="1" applyFill="1" applyBorder="1"/>
    <xf numFmtId="0" fontId="161" fillId="32" borderId="1" xfId="0" applyFont="1" applyFill="1" applyBorder="1" applyAlignment="1">
      <alignment vertical="center"/>
    </xf>
    <xf numFmtId="0" fontId="134" fillId="0" borderId="1" xfId="0" applyFont="1" applyBorder="1" applyAlignment="1">
      <alignment horizontal="right" vertical="center"/>
    </xf>
    <xf numFmtId="0" fontId="134" fillId="0" borderId="1" xfId="0" applyFont="1" applyBorder="1" applyAlignment="1">
      <alignment horizontal="center" vertical="center"/>
    </xf>
    <xf numFmtId="0" fontId="134" fillId="0" borderId="1" xfId="0" applyFont="1" applyBorder="1"/>
    <xf numFmtId="37" fontId="141" fillId="0" borderId="110" xfId="0" applyNumberFormat="1" applyFont="1" applyBorder="1"/>
    <xf numFmtId="0" fontId="134" fillId="0" borderId="1" xfId="0" applyFont="1" applyBorder="1" applyAlignment="1">
      <alignment horizontal="right"/>
    </xf>
    <xf numFmtId="166" fontId="139" fillId="0" borderId="0" xfId="1" applyFont="1"/>
    <xf numFmtId="37" fontId="140" fillId="0" borderId="21" xfId="0" applyNumberFormat="1" applyFont="1" applyBorder="1"/>
    <xf numFmtId="37" fontId="141" fillId="0" borderId="1" xfId="0" applyNumberFormat="1" applyFont="1" applyBorder="1"/>
    <xf numFmtId="0" fontId="129" fillId="0" borderId="213" xfId="0" applyFont="1" applyBorder="1" applyAlignment="1">
      <alignment horizontal="center" vertical="center"/>
    </xf>
    <xf numFmtId="0" fontId="130" fillId="0" borderId="215" xfId="0" applyFont="1" applyBorder="1" applyAlignment="1">
      <alignment horizontal="center" vertical="center"/>
    </xf>
    <xf numFmtId="169" fontId="129" fillId="0" borderId="216" xfId="0" applyNumberFormat="1" applyFont="1" applyBorder="1" applyAlignment="1">
      <alignment horizontal="center" vertical="center"/>
    </xf>
    <xf numFmtId="169" fontId="130" fillId="0" borderId="216" xfId="0" applyNumberFormat="1" applyFont="1" applyBorder="1" applyAlignment="1">
      <alignment horizontal="center" vertical="center"/>
    </xf>
    <xf numFmtId="0" fontId="130" fillId="0" borderId="217" xfId="0" applyFont="1" applyBorder="1" applyAlignment="1">
      <alignment horizontal="center" vertical="center"/>
    </xf>
    <xf numFmtId="169" fontId="130" fillId="0" borderId="218" xfId="0" applyNumberFormat="1" applyFont="1" applyBorder="1" applyAlignment="1">
      <alignment horizontal="center" vertical="center"/>
    </xf>
    <xf numFmtId="0" fontId="183" fillId="29" borderId="151" xfId="0" applyFont="1" applyFill="1" applyBorder="1" applyAlignment="1">
      <alignment horizontal="center"/>
    </xf>
    <xf numFmtId="0" fontId="183" fillId="29" borderId="152" xfId="0" applyFont="1" applyFill="1" applyBorder="1" applyAlignment="1">
      <alignment horizontal="center"/>
    </xf>
    <xf numFmtId="0" fontId="183" fillId="29" borderId="153" xfId="0" applyFont="1" applyFill="1" applyBorder="1" applyAlignment="1">
      <alignment horizontal="center"/>
    </xf>
    <xf numFmtId="0" fontId="134" fillId="0" borderId="14" xfId="0" applyFont="1" applyBorder="1" applyAlignment="1">
      <alignment horizontal="center"/>
    </xf>
    <xf numFmtId="0" fontId="137" fillId="0" borderId="14" xfId="0" applyFont="1" applyBorder="1"/>
    <xf numFmtId="169" fontId="129" fillId="0" borderId="1" xfId="0" applyNumberFormat="1" applyFont="1" applyBorder="1" applyAlignment="1">
      <alignment horizontal="center" vertical="center"/>
    </xf>
    <xf numFmtId="169" fontId="130" fillId="0" borderId="1" xfId="0" applyNumberFormat="1" applyFont="1" applyBorder="1" applyAlignment="1">
      <alignment horizontal="center" vertical="center"/>
    </xf>
    <xf numFmtId="0" fontId="157" fillId="0" borderId="219" xfId="0" applyFont="1" applyBorder="1" applyAlignment="1">
      <alignment horizontal="center" vertical="center"/>
    </xf>
    <xf numFmtId="0" fontId="154" fillId="0" borderId="214" xfId="0" applyFont="1" applyBorder="1" applyAlignment="1">
      <alignment horizontal="center" vertical="center"/>
    </xf>
    <xf numFmtId="169" fontId="130" fillId="0" borderId="220" xfId="0" applyNumberFormat="1" applyFont="1" applyBorder="1" applyAlignment="1">
      <alignment horizontal="center" vertical="center"/>
    </xf>
    <xf numFmtId="174" fontId="143" fillId="0" borderId="8" xfId="0" applyNumberFormat="1" applyFont="1" applyBorder="1" applyAlignment="1">
      <alignment vertical="center"/>
    </xf>
    <xf numFmtId="174" fontId="143" fillId="0" borderId="9" xfId="0" applyNumberFormat="1" applyFont="1" applyBorder="1" applyAlignment="1">
      <alignment vertical="center"/>
    </xf>
    <xf numFmtId="0" fontId="193" fillId="0" borderId="0" xfId="0" applyFont="1"/>
    <xf numFmtId="0" fontId="193" fillId="0" borderId="0" xfId="0" applyFont="1" applyAlignment="1">
      <alignment horizontal="center"/>
    </xf>
    <xf numFmtId="0" fontId="193" fillId="0" borderId="0" xfId="0" applyFont="1" applyAlignment="1">
      <alignment horizontal="right" vertical="center"/>
    </xf>
    <xf numFmtId="0" fontId="193" fillId="0" borderId="0" xfId="0" applyFont="1" applyAlignment="1">
      <alignment horizontal="center" vertical="center"/>
    </xf>
    <xf numFmtId="0" fontId="193" fillId="0" borderId="0" xfId="0" applyFont="1" applyAlignment="1">
      <alignment horizontal="right"/>
    </xf>
    <xf numFmtId="0" fontId="140" fillId="0" borderId="1" xfId="0" applyFont="1" applyBorder="1"/>
    <xf numFmtId="0" fontId="140" fillId="0" borderId="20" xfId="0" applyFont="1" applyBorder="1"/>
    <xf numFmtId="14" fontId="131" fillId="0" borderId="0" xfId="0" applyNumberFormat="1" applyFont="1" applyAlignment="1">
      <alignment horizontal="left"/>
    </xf>
    <xf numFmtId="0" fontId="130" fillId="0" borderId="213" xfId="0" applyFont="1" applyBorder="1"/>
    <xf numFmtId="0" fontId="156" fillId="0" borderId="219" xfId="0" applyFont="1" applyBorder="1"/>
    <xf numFmtId="0" fontId="130" fillId="0" borderId="214" xfId="0" applyFont="1" applyBorder="1"/>
    <xf numFmtId="0" fontId="129" fillId="0" borderId="215" xfId="0" applyFont="1" applyBorder="1" applyAlignment="1">
      <alignment horizontal="left"/>
    </xf>
    <xf numFmtId="169" fontId="129" fillId="0" borderId="1" xfId="0" applyNumberFormat="1" applyFont="1" applyBorder="1" applyAlignment="1">
      <alignment horizontal="center"/>
    </xf>
    <xf numFmtId="0" fontId="130" fillId="0" borderId="216" xfId="0" applyFont="1" applyBorder="1"/>
    <xf numFmtId="169" fontId="130" fillId="0" borderId="1" xfId="0" applyNumberFormat="1" applyFont="1" applyBorder="1" applyAlignment="1">
      <alignment horizontal="right"/>
    </xf>
    <xf numFmtId="0" fontId="130" fillId="0" borderId="215" xfId="0" applyFont="1" applyBorder="1"/>
    <xf numFmtId="0" fontId="130" fillId="0" borderId="1" xfId="0" applyFont="1" applyBorder="1"/>
    <xf numFmtId="0" fontId="129" fillId="0" borderId="217" xfId="0" applyFont="1" applyBorder="1" applyAlignment="1">
      <alignment horizontal="left"/>
    </xf>
    <xf numFmtId="169" fontId="130" fillId="0" borderId="220" xfId="0" applyNumberFormat="1" applyFont="1" applyBorder="1" applyAlignment="1">
      <alignment horizontal="right"/>
    </xf>
    <xf numFmtId="43" fontId="131" fillId="0" borderId="0" xfId="0" applyNumberFormat="1" applyFont="1"/>
    <xf numFmtId="3" fontId="0" fillId="0" borderId="0" xfId="0" applyNumberFormat="1"/>
    <xf numFmtId="10" fontId="139" fillId="0" borderId="0" xfId="0" applyNumberFormat="1" applyFont="1"/>
    <xf numFmtId="171" fontId="139" fillId="0" borderId="0" xfId="1" applyNumberFormat="1" applyFont="1"/>
    <xf numFmtId="182" fontId="131" fillId="0" borderId="0" xfId="3" applyNumberFormat="1" applyFont="1"/>
    <xf numFmtId="182" fontId="131" fillId="10" borderId="1" xfId="3" applyNumberFormat="1" applyFont="1" applyFill="1" applyBorder="1" applyAlignment="1">
      <alignment horizontal="center" vertical="center"/>
    </xf>
    <xf numFmtId="182" fontId="131" fillId="10" borderId="1" xfId="3" applyNumberFormat="1" applyFont="1" applyFill="1" applyBorder="1" applyAlignment="1">
      <alignment horizontal="center"/>
    </xf>
    <xf numFmtId="17" fontId="139" fillId="0" borderId="0" xfId="0" applyNumberFormat="1" applyFont="1" applyAlignment="1">
      <alignment horizontal="right"/>
    </xf>
    <xf numFmtId="10" fontId="0" fillId="0" borderId="0" xfId="0" applyNumberFormat="1"/>
    <xf numFmtId="10" fontId="130" fillId="0" borderId="216" xfId="0" applyNumberFormat="1" applyFont="1" applyBorder="1" applyAlignment="1">
      <alignment horizontal="center"/>
    </xf>
    <xf numFmtId="0" fontId="131" fillId="34" borderId="0" xfId="0" applyFont="1" applyFill="1" applyAlignment="1">
      <alignment horizontal="center"/>
    </xf>
    <xf numFmtId="0" fontId="131" fillId="35" borderId="0" xfId="0" applyFont="1" applyFill="1" applyAlignment="1">
      <alignment horizontal="center"/>
    </xf>
    <xf numFmtId="3" fontId="143" fillId="3" borderId="29" xfId="0" applyNumberFormat="1" applyFont="1" applyFill="1" applyBorder="1" applyAlignment="1">
      <alignment horizontal="right"/>
    </xf>
    <xf numFmtId="1" fontId="140" fillId="0" borderId="14" xfId="0" applyNumberFormat="1" applyFont="1" applyBorder="1"/>
    <xf numFmtId="1" fontId="140" fillId="0" borderId="92" xfId="0" applyNumberFormat="1" applyFont="1" applyBorder="1"/>
    <xf numFmtId="37" fontId="141" fillId="33" borderId="0" xfId="0" applyNumberFormat="1" applyFont="1" applyFill="1"/>
    <xf numFmtId="37" fontId="141" fillId="0" borderId="111" xfId="0" applyNumberFormat="1" applyFont="1" applyBorder="1"/>
    <xf numFmtId="171" fontId="140" fillId="0" borderId="0" xfId="1" applyNumberFormat="1" applyFont="1"/>
    <xf numFmtId="49" fontId="174" fillId="27" borderId="1" xfId="0" applyNumberFormat="1" applyFont="1" applyFill="1" applyBorder="1" applyAlignment="1">
      <alignment horizontal="left" vertical="top"/>
    </xf>
    <xf numFmtId="49" fontId="176" fillId="23" borderId="144" xfId="0" applyNumberFormat="1" applyFont="1" applyFill="1" applyBorder="1" applyAlignment="1">
      <alignment horizontal="left" vertical="top"/>
    </xf>
    <xf numFmtId="49" fontId="179" fillId="23" borderId="143" xfId="0" applyNumberFormat="1" applyFont="1" applyFill="1" applyBorder="1" applyAlignment="1">
      <alignment horizontal="left" vertical="top"/>
    </xf>
    <xf numFmtId="49" fontId="176" fillId="23" borderId="143" xfId="0" quotePrefix="1" applyNumberFormat="1" applyFont="1" applyFill="1" applyBorder="1" applyAlignment="1">
      <alignment horizontal="left" vertical="top"/>
    </xf>
    <xf numFmtId="0" fontId="0" fillId="36" borderId="0" xfId="0" applyFill="1"/>
    <xf numFmtId="166" fontId="131" fillId="36" borderId="0" xfId="0" applyNumberFormat="1" applyFont="1" applyFill="1"/>
    <xf numFmtId="1" fontId="131" fillId="36" borderId="0" xfId="0" applyNumberFormat="1" applyFont="1" applyFill="1" applyAlignment="1">
      <alignment horizontal="center"/>
    </xf>
    <xf numFmtId="49" fontId="125" fillId="0" borderId="1" xfId="10" applyNumberFormat="1" applyAlignment="1">
      <alignment horizontal="left" vertical="center"/>
    </xf>
    <xf numFmtId="166" fontId="125" fillId="0" borderId="1" xfId="1" applyFont="1" applyBorder="1" applyAlignment="1">
      <alignment horizontal="left" vertical="center"/>
    </xf>
    <xf numFmtId="0" fontId="124" fillId="36" borderId="1" xfId="11" applyFill="1"/>
    <xf numFmtId="168" fontId="124" fillId="36" borderId="1" xfId="12" applyFont="1" applyFill="1" applyAlignment="1">
      <alignment horizontal="right" vertical="center"/>
    </xf>
    <xf numFmtId="49" fontId="130" fillId="37" borderId="1" xfId="0" applyNumberFormat="1" applyFont="1" applyFill="1" applyBorder="1" applyAlignment="1">
      <alignment horizontal="left" vertical="center"/>
    </xf>
    <xf numFmtId="0" fontId="130" fillId="37" borderId="1" xfId="0" applyFont="1" applyFill="1" applyBorder="1" applyAlignment="1">
      <alignment horizontal="left" vertical="top"/>
    </xf>
    <xf numFmtId="0" fontId="130" fillId="37" borderId="1" xfId="0" applyFont="1" applyFill="1" applyBorder="1"/>
    <xf numFmtId="179" fontId="130" fillId="37" borderId="1" xfId="0" applyNumberFormat="1" applyFont="1" applyFill="1" applyBorder="1" applyAlignment="1">
      <alignment horizontal="right" vertical="center"/>
    </xf>
    <xf numFmtId="4" fontId="130" fillId="37" borderId="1" xfId="0" applyNumberFormat="1" applyFont="1" applyFill="1" applyBorder="1"/>
    <xf numFmtId="37" fontId="0" fillId="0" borderId="0" xfId="0" applyNumberFormat="1"/>
    <xf numFmtId="49" fontId="130" fillId="10" borderId="143" xfId="0" applyNumberFormat="1" applyFont="1" applyFill="1" applyBorder="1" applyAlignment="1">
      <alignment horizontal="left" vertical="top"/>
    </xf>
    <xf numFmtId="49" fontId="180" fillId="23" borderId="143" xfId="0" applyNumberFormat="1" applyFont="1" applyFill="1" applyBorder="1" applyAlignment="1">
      <alignment horizontal="left" vertical="top"/>
    </xf>
    <xf numFmtId="49" fontId="130" fillId="0" borderId="1" xfId="0" applyNumberFormat="1" applyFont="1" applyBorder="1" applyAlignment="1">
      <alignment horizontal="left" vertical="top"/>
    </xf>
    <xf numFmtId="0" fontId="177" fillId="23" borderId="0" xfId="0" applyFont="1" applyFill="1" applyAlignment="1">
      <alignment horizontal="left" vertical="top"/>
    </xf>
    <xf numFmtId="49" fontId="130" fillId="10" borderId="144" xfId="0" applyNumberFormat="1" applyFont="1" applyFill="1" applyBorder="1" applyAlignment="1">
      <alignment horizontal="left" vertical="top"/>
    </xf>
    <xf numFmtId="3" fontId="133" fillId="0" borderId="0" xfId="0" applyNumberFormat="1" applyFont="1"/>
    <xf numFmtId="49" fontId="177" fillId="23" borderId="145" xfId="0" applyNumberFormat="1" applyFont="1" applyFill="1" applyBorder="1" applyAlignment="1">
      <alignment horizontal="left" vertical="top"/>
    </xf>
    <xf numFmtId="0" fontId="101" fillId="36" borderId="1" xfId="690" applyFill="1"/>
    <xf numFmtId="168" fontId="101" fillId="36" borderId="1" xfId="691" applyFont="1" applyFill="1" applyAlignment="1">
      <alignment horizontal="right" vertical="center"/>
    </xf>
    <xf numFmtId="0" fontId="96" fillId="36" borderId="1" xfId="1397" applyFill="1"/>
    <xf numFmtId="168" fontId="96" fillId="36" borderId="1" xfId="1398" applyFont="1" applyFill="1" applyAlignment="1">
      <alignment horizontal="right" vertical="center"/>
    </xf>
    <xf numFmtId="0" fontId="94" fillId="33" borderId="1" xfId="2755" applyFill="1"/>
    <xf numFmtId="183" fontId="94" fillId="33" borderId="1" xfId="2755" applyNumberFormat="1" applyFill="1" applyAlignment="1">
      <alignment horizontal="right" vertical="center"/>
    </xf>
    <xf numFmtId="184" fontId="94" fillId="33" borderId="1" xfId="2755" applyNumberFormat="1" applyFill="1" applyAlignment="1">
      <alignment horizontal="right" vertical="center"/>
    </xf>
    <xf numFmtId="49" fontId="94" fillId="33" borderId="1" xfId="2755" applyNumberFormat="1" applyFill="1" applyAlignment="1">
      <alignment horizontal="left" vertical="center"/>
    </xf>
    <xf numFmtId="49" fontId="195" fillId="36" borderId="1" xfId="2807" applyNumberFormat="1" applyFont="1" applyFill="1" applyAlignment="1">
      <alignment horizontal="left" vertical="center"/>
    </xf>
    <xf numFmtId="168" fontId="195" fillId="36" borderId="1" xfId="2808" applyFont="1" applyFill="1" applyAlignment="1">
      <alignment horizontal="right" vertical="center"/>
    </xf>
    <xf numFmtId="49" fontId="92" fillId="36" borderId="1" xfId="2807" applyNumberFormat="1" applyFill="1" applyAlignment="1">
      <alignment horizontal="left" vertical="center"/>
    </xf>
    <xf numFmtId="0" fontId="92" fillId="36" borderId="1" xfId="2807" applyFill="1"/>
    <xf numFmtId="168" fontId="92" fillId="36" borderId="1" xfId="2808" applyFont="1" applyFill="1" applyAlignment="1">
      <alignment horizontal="right" vertical="center"/>
    </xf>
    <xf numFmtId="184" fontId="90" fillId="34" borderId="1" xfId="2811" applyNumberFormat="1" applyFill="1" applyAlignment="1">
      <alignment horizontal="right" vertical="center"/>
    </xf>
    <xf numFmtId="0" fontId="90" fillId="0" borderId="1" xfId="2811"/>
    <xf numFmtId="49" fontId="195" fillId="0" borderId="1" xfId="2811" applyNumberFormat="1" applyFont="1" applyAlignment="1">
      <alignment horizontal="left" vertical="center"/>
    </xf>
    <xf numFmtId="49" fontId="90" fillId="0" borderId="1" xfId="2811" applyNumberFormat="1" applyAlignment="1">
      <alignment horizontal="left" vertical="center"/>
    </xf>
    <xf numFmtId="183" fontId="195" fillId="0" borderId="1" xfId="2811" applyNumberFormat="1" applyFont="1" applyAlignment="1">
      <alignment horizontal="right" vertical="center"/>
    </xf>
    <xf numFmtId="183" fontId="90" fillId="0" borderId="1" xfId="2811" applyNumberFormat="1" applyAlignment="1">
      <alignment horizontal="right" vertical="center"/>
    </xf>
    <xf numFmtId="184" fontId="195" fillId="0" borderId="1" xfId="2811" applyNumberFormat="1" applyFont="1" applyAlignment="1">
      <alignment horizontal="right" vertical="center"/>
    </xf>
    <xf numFmtId="184" fontId="90" fillId="0" borderId="1" xfId="2811" applyNumberFormat="1" applyAlignment="1">
      <alignment horizontal="right" vertical="center"/>
    </xf>
    <xf numFmtId="49" fontId="154" fillId="0" borderId="1" xfId="4224" applyNumberFormat="1" applyFont="1" applyAlignment="1">
      <alignment horizontal="center" vertical="center"/>
    </xf>
    <xf numFmtId="184" fontId="90" fillId="34" borderId="1" xfId="5565" applyNumberFormat="1" applyFill="1" applyAlignment="1">
      <alignment horizontal="right" vertical="center"/>
    </xf>
    <xf numFmtId="0" fontId="90" fillId="0" borderId="1" xfId="5565"/>
    <xf numFmtId="49" fontId="195" fillId="0" borderId="1" xfId="5565" applyNumberFormat="1" applyFont="1" applyAlignment="1">
      <alignment horizontal="left" vertical="center"/>
    </xf>
    <xf numFmtId="49" fontId="90" fillId="0" borderId="1" xfId="5565" applyNumberFormat="1" applyAlignment="1">
      <alignment horizontal="left" vertical="center"/>
    </xf>
    <xf numFmtId="183" fontId="195" fillId="0" borderId="1" xfId="5565" applyNumberFormat="1" applyFont="1" applyAlignment="1">
      <alignment horizontal="right" vertical="center"/>
    </xf>
    <xf numFmtId="183" fontId="90" fillId="0" borderId="1" xfId="5565" applyNumberFormat="1" applyAlignment="1">
      <alignment horizontal="right" vertical="center"/>
    </xf>
    <xf numFmtId="184" fontId="195" fillId="0" borderId="1" xfId="5565" applyNumberFormat="1" applyFont="1" applyAlignment="1">
      <alignment horizontal="right" vertical="center"/>
    </xf>
    <xf numFmtId="184" fontId="90" fillId="0" borderId="1" xfId="5565" applyNumberFormat="1" applyAlignment="1">
      <alignment horizontal="right" vertical="center"/>
    </xf>
    <xf numFmtId="49" fontId="154" fillId="0" borderId="1" xfId="5551" applyNumberFormat="1" applyFont="1" applyAlignment="1">
      <alignment horizontal="center" vertical="center"/>
    </xf>
    <xf numFmtId="168" fontId="139" fillId="0" borderId="0" xfId="0" applyNumberFormat="1" applyFont="1"/>
    <xf numFmtId="166" fontId="144" fillId="0" borderId="0" xfId="1" applyFont="1"/>
    <xf numFmtId="10" fontId="144" fillId="0" borderId="0" xfId="2" applyNumberFormat="1" applyFont="1"/>
    <xf numFmtId="3" fontId="140" fillId="0" borderId="1" xfId="0" applyNumberFormat="1" applyFont="1" applyBorder="1"/>
    <xf numFmtId="3" fontId="140" fillId="0" borderId="20" xfId="0" applyNumberFormat="1" applyFont="1" applyBorder="1"/>
    <xf numFmtId="3" fontId="140" fillId="0" borderId="23" xfId="0" applyNumberFormat="1" applyFont="1" applyBorder="1"/>
    <xf numFmtId="0" fontId="87" fillId="0" borderId="1" xfId="5626"/>
    <xf numFmtId="2" fontId="200" fillId="0" borderId="1" xfId="5626" applyNumberFormat="1" applyFont="1" applyAlignment="1">
      <alignment horizontal="center"/>
    </xf>
    <xf numFmtId="0" fontId="200" fillId="0" borderId="1" xfId="5626" applyFont="1"/>
    <xf numFmtId="2" fontId="87" fillId="0" borderId="1" xfId="5626" applyNumberFormat="1" applyAlignment="1">
      <alignment horizontal="center"/>
    </xf>
    <xf numFmtId="0" fontId="201" fillId="0" borderId="1" xfId="5626" applyFont="1"/>
    <xf numFmtId="2" fontId="198" fillId="38" borderId="221" xfId="5626" applyNumberFormat="1" applyFont="1" applyFill="1" applyBorder="1" applyAlignment="1">
      <alignment horizontal="center"/>
    </xf>
    <xf numFmtId="2" fontId="198" fillId="38" borderId="223" xfId="5626" applyNumberFormat="1" applyFont="1" applyFill="1" applyBorder="1" applyAlignment="1">
      <alignment horizontal="center"/>
    </xf>
    <xf numFmtId="0" fontId="87" fillId="0" borderId="163" xfId="5626" applyBorder="1"/>
    <xf numFmtId="0" fontId="87" fillId="0" borderId="224" xfId="5626" applyBorder="1"/>
    <xf numFmtId="0" fontId="198" fillId="0" borderId="225" xfId="5627" applyFont="1" applyBorder="1"/>
    <xf numFmtId="0" fontId="87" fillId="29" borderId="226" xfId="5626" applyFill="1" applyBorder="1"/>
    <xf numFmtId="37" fontId="198" fillId="0" borderId="221" xfId="5626" applyNumberFormat="1" applyFont="1" applyBorder="1" applyAlignment="1">
      <alignment horizontal="center"/>
    </xf>
    <xf numFmtId="37" fontId="198" fillId="0" borderId="223" xfId="5626" applyNumberFormat="1" applyFont="1" applyBorder="1" applyAlignment="1">
      <alignment horizontal="center"/>
    </xf>
    <xf numFmtId="174" fontId="198" fillId="0" borderId="223" xfId="5628" applyNumberFormat="1" applyFont="1" applyBorder="1" applyAlignment="1">
      <alignment horizontal="center"/>
    </xf>
    <xf numFmtId="0" fontId="199" fillId="0" borderId="1" xfId="5626" applyFont="1"/>
    <xf numFmtId="0" fontId="87" fillId="0" borderId="225" xfId="5626" applyBorder="1"/>
    <xf numFmtId="0" fontId="87"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4" fontId="0" fillId="0" borderId="229" xfId="5628" applyNumberFormat="1" applyFont="1" applyBorder="1" applyAlignment="1">
      <alignment horizontal="center" vertical="center"/>
    </xf>
    <xf numFmtId="0" fontId="87" fillId="0" borderId="226" xfId="5626" applyBorder="1" applyAlignment="1">
      <alignment horizontal="left"/>
    </xf>
    <xf numFmtId="37" fontId="87" fillId="0" borderId="227" xfId="5626" applyNumberFormat="1" applyBorder="1" applyAlignment="1">
      <alignment horizontal="center"/>
    </xf>
    <xf numFmtId="37" fontId="87" fillId="0" borderId="224" xfId="5626" applyNumberFormat="1" applyBorder="1" applyAlignment="1">
      <alignment horizontal="center"/>
    </xf>
    <xf numFmtId="174" fontId="0" fillId="0" borderId="224" xfId="5628" applyNumberFormat="1" applyFont="1" applyBorder="1" applyAlignment="1">
      <alignment horizontal="center" vertical="center"/>
    </xf>
    <xf numFmtId="0" fontId="198" fillId="0" borderId="226" xfId="5626" applyFont="1" applyBorder="1"/>
    <xf numFmtId="37" fontId="198" fillId="0" borderId="227" xfId="5629" applyNumberFormat="1" applyFont="1" applyBorder="1" applyAlignment="1">
      <alignment horizontal="center"/>
    </xf>
    <xf numFmtId="37" fontId="198" fillId="0" borderId="224" xfId="5629" applyNumberFormat="1" applyFont="1" applyBorder="1" applyAlignment="1">
      <alignment horizontal="center"/>
    </xf>
    <xf numFmtId="174" fontId="0" fillId="0" borderId="227" xfId="5628" applyNumberFormat="1" applyFont="1" applyBorder="1" applyAlignment="1">
      <alignment horizontal="center"/>
    </xf>
    <xf numFmtId="174" fontId="0" fillId="0" borderId="224" xfId="5628" applyNumberFormat="1" applyFont="1" applyBorder="1" applyAlignment="1">
      <alignment horizontal="center"/>
    </xf>
    <xf numFmtId="0" fontId="87" fillId="0" borderId="225" xfId="5626" applyBorder="1" applyAlignment="1">
      <alignment horizontal="left"/>
    </xf>
    <xf numFmtId="37" fontId="0" fillId="0" borderId="229" xfId="5629" applyNumberFormat="1" applyFont="1" applyFill="1" applyBorder="1" applyAlignment="1">
      <alignment horizontal="center"/>
    </xf>
    <xf numFmtId="0" fontId="199" fillId="0" borderId="227" xfId="5626" applyFont="1" applyBorder="1"/>
    <xf numFmtId="174" fontId="0" fillId="0" borderId="230" xfId="5628" applyNumberFormat="1" applyFont="1" applyBorder="1" applyAlignment="1">
      <alignment horizontal="center"/>
    </xf>
    <xf numFmtId="174"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87" fillId="0" borderId="232" xfId="5626" applyBorder="1" applyAlignment="1">
      <alignment horizontal="left"/>
    </xf>
    <xf numFmtId="0" fontId="87" fillId="0" borderId="227" xfId="5626" applyBorder="1"/>
    <xf numFmtId="174" fontId="0" fillId="0" borderId="231" xfId="5628" applyNumberFormat="1" applyFont="1" applyBorder="1" applyAlignment="1">
      <alignment horizontal="center"/>
    </xf>
    <xf numFmtId="2" fontId="87" fillId="0" borderId="231" xfId="5626" applyNumberFormat="1" applyBorder="1" applyAlignment="1">
      <alignment horizontal="center"/>
    </xf>
    <xf numFmtId="0" fontId="87" fillId="0" borderId="1" xfId="5626" applyAlignment="1">
      <alignment horizontal="left"/>
    </xf>
    <xf numFmtId="2" fontId="0" fillId="0" borderId="1" xfId="5629" applyNumberFormat="1" applyFont="1" applyBorder="1" applyAlignment="1">
      <alignment horizontal="center"/>
    </xf>
    <xf numFmtId="37" fontId="198" fillId="0" borderId="230" xfId="5629" applyNumberFormat="1" applyFont="1" applyBorder="1" applyAlignment="1">
      <alignment horizontal="center"/>
    </xf>
    <xf numFmtId="37" fontId="202" fillId="0" borderId="228" xfId="5629" applyNumberFormat="1" applyFont="1" applyBorder="1" applyAlignment="1">
      <alignment horizontal="center"/>
    </xf>
    <xf numFmtId="0" fontId="198" fillId="0" borderId="232" xfId="5626" applyFont="1" applyBorder="1"/>
    <xf numFmtId="37" fontId="198" fillId="0" borderId="231" xfId="5629" applyNumberFormat="1" applyFont="1" applyBorder="1" applyAlignment="1">
      <alignment horizontal="center"/>
    </xf>
    <xf numFmtId="0" fontId="197" fillId="0" borderId="1" xfId="5626" applyFont="1"/>
    <xf numFmtId="0" fontId="87" fillId="29" borderId="233" xfId="5626" applyFill="1" applyBorder="1"/>
    <xf numFmtId="0" fontId="198" fillId="0" borderId="1" xfId="5626" applyFont="1"/>
    <xf numFmtId="0" fontId="87" fillId="0" borderId="1" xfId="5626" applyAlignment="1">
      <alignment horizontal="center"/>
    </xf>
    <xf numFmtId="2" fontId="197" fillId="0" borderId="1" xfId="5626" applyNumberFormat="1" applyFont="1" applyAlignment="1">
      <alignment horizontal="center"/>
    </xf>
    <xf numFmtId="2" fontId="87" fillId="0" borderId="1" xfId="5626" applyNumberFormat="1"/>
    <xf numFmtId="1" fontId="130" fillId="36" borderId="232" xfId="5626" applyNumberFormat="1" applyFont="1" applyFill="1" applyBorder="1" applyAlignment="1">
      <alignment horizontal="left" vertical="top"/>
    </xf>
    <xf numFmtId="185" fontId="87" fillId="33" borderId="1" xfId="5626" applyNumberFormat="1" applyFill="1" applyAlignment="1">
      <alignment horizontal="center"/>
    </xf>
    <xf numFmtId="0" fontId="198" fillId="0" borderId="1" xfId="5626" applyFont="1" applyAlignment="1">
      <alignment horizontal="center" vertical="center"/>
    </xf>
    <xf numFmtId="0" fontId="198" fillId="0" borderId="225" xfId="5626" applyFont="1" applyBorder="1" applyAlignment="1">
      <alignment horizontal="center" vertical="center"/>
    </xf>
    <xf numFmtId="0" fontId="198" fillId="0" borderId="233" xfId="5626" applyFont="1" applyBorder="1" applyAlignment="1">
      <alignment horizontal="center" vertical="center"/>
    </xf>
    <xf numFmtId="0" fontId="198" fillId="0" borderId="233" xfId="5626" applyFont="1" applyBorder="1" applyAlignment="1">
      <alignment horizontal="center" wrapText="1"/>
    </xf>
    <xf numFmtId="0" fontId="87" fillId="0" borderId="1" xfId="5626" applyAlignment="1">
      <alignment horizontal="center" vertical="center"/>
    </xf>
    <xf numFmtId="0" fontId="198" fillId="0" borderId="225" xfId="5626" applyFont="1" applyBorder="1" applyAlignment="1">
      <alignment horizontal="center"/>
    </xf>
    <xf numFmtId="3" fontId="87" fillId="36" borderId="226" xfId="5626" applyNumberFormat="1" applyFill="1" applyBorder="1" applyAlignment="1">
      <alignment horizontal="center"/>
    </xf>
    <xf numFmtId="2" fontId="198" fillId="0" borderId="226" xfId="5626" applyNumberFormat="1" applyFont="1" applyBorder="1" applyAlignment="1">
      <alignment horizontal="center"/>
    </xf>
    <xf numFmtId="0" fontId="198" fillId="0" borderId="226" xfId="5626" applyFont="1" applyBorder="1" applyAlignment="1">
      <alignment horizontal="center"/>
    </xf>
    <xf numFmtId="0" fontId="198" fillId="0" borderId="232" xfId="5626" applyFont="1" applyBorder="1" applyAlignment="1">
      <alignment horizontal="center"/>
    </xf>
    <xf numFmtId="3" fontId="87" fillId="36" borderId="232" xfId="5626" applyNumberFormat="1" applyFill="1" applyBorder="1" applyAlignment="1">
      <alignment horizontal="center"/>
    </xf>
    <xf numFmtId="174" fontId="140" fillId="0" borderId="0" xfId="2" applyNumberFormat="1" applyFont="1"/>
    <xf numFmtId="174" fontId="140" fillId="0" borderId="8" xfId="2" applyNumberFormat="1" applyFont="1" applyBorder="1"/>
    <xf numFmtId="174" fontId="140" fillId="0" borderId="93" xfId="2" applyNumberFormat="1" applyFont="1" applyBorder="1"/>
    <xf numFmtId="174" fontId="133" fillId="3" borderId="35" xfId="2" applyNumberFormat="1" applyFont="1" applyFill="1" applyBorder="1"/>
    <xf numFmtId="174" fontId="141" fillId="0" borderId="71" xfId="2" applyNumberFormat="1" applyFont="1" applyBorder="1"/>
    <xf numFmtId="174" fontId="141" fillId="0" borderId="85" xfId="2" applyNumberFormat="1" applyFont="1" applyBorder="1"/>
    <xf numFmtId="174" fontId="141" fillId="0" borderId="14" xfId="2" applyNumberFormat="1" applyFont="1" applyBorder="1"/>
    <xf numFmtId="174" fontId="141" fillId="0" borderId="0" xfId="2" applyNumberFormat="1" applyFont="1"/>
    <xf numFmtId="37" fontId="196" fillId="0" borderId="0" xfId="0" applyNumberFormat="1" applyFont="1"/>
    <xf numFmtId="185" fontId="87" fillId="0" borderId="1" xfId="5626" applyNumberFormat="1"/>
    <xf numFmtId="4" fontId="130" fillId="36" borderId="0" xfId="0" applyNumberFormat="1" applyFont="1" applyFill="1" applyAlignment="1">
      <alignment horizontal="center" vertical="top"/>
    </xf>
    <xf numFmtId="10" fontId="130" fillId="0" borderId="218" xfId="0" applyNumberFormat="1" applyFont="1" applyBorder="1" applyAlignment="1">
      <alignment horizontal="center"/>
    </xf>
    <xf numFmtId="49" fontId="204" fillId="23" borderId="143" xfId="11272" applyNumberFormat="1" applyFill="1" applyBorder="1" applyAlignment="1">
      <alignment horizontal="left" vertical="top"/>
    </xf>
    <xf numFmtId="183" fontId="76" fillId="36" borderId="1" xfId="11277" applyNumberFormat="1" applyFill="1" applyAlignment="1">
      <alignment horizontal="right" vertical="center"/>
    </xf>
    <xf numFmtId="0" fontId="75" fillId="0" borderId="0" xfId="0" applyFont="1"/>
    <xf numFmtId="9" fontId="140" fillId="0" borderId="0" xfId="2" applyFont="1" applyAlignment="1">
      <alignment horizontal="right"/>
    </xf>
    <xf numFmtId="9" fontId="140" fillId="0" borderId="0" xfId="2" applyFont="1"/>
    <xf numFmtId="9" fontId="140" fillId="0" borderId="8" xfId="2" applyFont="1" applyFill="1" applyBorder="1"/>
    <xf numFmtId="174" fontId="140" fillId="0" borderId="0" xfId="2" applyNumberFormat="1" applyFont="1" applyFill="1"/>
    <xf numFmtId="0" fontId="72" fillId="0" borderId="1" xfId="11280"/>
    <xf numFmtId="49" fontId="154" fillId="0" borderId="227" xfId="11280" applyNumberFormat="1" applyFont="1" applyBorder="1" applyAlignment="1">
      <alignment horizontal="center" vertical="center"/>
    </xf>
    <xf numFmtId="49" fontId="154" fillId="0" borderId="1" xfId="11280" applyNumberFormat="1" applyFont="1" applyAlignment="1">
      <alignment horizontal="center" vertical="center"/>
    </xf>
    <xf numFmtId="3" fontId="154" fillId="0" borderId="1" xfId="11280" applyNumberFormat="1" applyFont="1" applyAlignment="1">
      <alignment horizontal="center" vertical="center"/>
    </xf>
    <xf numFmtId="49" fontId="154" fillId="0" borderId="224" xfId="11280" applyNumberFormat="1" applyFont="1" applyBorder="1" applyAlignment="1">
      <alignment horizontal="center" vertical="center"/>
    </xf>
    <xf numFmtId="0" fontId="72" fillId="0" borderId="227" xfId="11280" applyBorder="1" applyAlignment="1">
      <alignment horizontal="center"/>
    </xf>
    <xf numFmtId="0" fontId="72" fillId="0" borderId="1" xfId="11280" applyAlignment="1">
      <alignment horizontal="center"/>
    </xf>
    <xf numFmtId="3" fontId="72" fillId="0" borderId="1" xfId="11280" applyNumberFormat="1" applyAlignment="1">
      <alignment horizontal="center"/>
    </xf>
    <xf numFmtId="0" fontId="72" fillId="0" borderId="224" xfId="11280" applyBorder="1" applyAlignment="1">
      <alignment horizontal="center"/>
    </xf>
    <xf numFmtId="0" fontId="176" fillId="39" borderId="143" xfId="0" applyFont="1" applyFill="1" applyBorder="1" applyAlignment="1">
      <alignment horizontal="left" vertical="top"/>
    </xf>
    <xf numFmtId="0" fontId="177" fillId="39" borderId="143" xfId="0" applyFont="1" applyFill="1" applyBorder="1" applyAlignment="1">
      <alignment horizontal="left" vertical="top"/>
    </xf>
    <xf numFmtId="49" fontId="176" fillId="39" borderId="143" xfId="0" applyNumberFormat="1" applyFont="1" applyFill="1" applyBorder="1" applyAlignment="1">
      <alignment horizontal="left" vertical="top"/>
    </xf>
    <xf numFmtId="9" fontId="142" fillId="0" borderId="0" xfId="2" applyFont="1"/>
    <xf numFmtId="0" fontId="71" fillId="0" borderId="1" xfId="11280" applyFont="1" applyAlignment="1">
      <alignment horizontal="center"/>
    </xf>
    <xf numFmtId="0" fontId="71" fillId="0" borderId="224" xfId="11280" applyFont="1" applyBorder="1" applyAlignment="1">
      <alignment horizontal="center"/>
    </xf>
    <xf numFmtId="0" fontId="67" fillId="0" borderId="0" xfId="0" applyFont="1"/>
    <xf numFmtId="166" fontId="87" fillId="0" borderId="1" xfId="1" applyFont="1" applyBorder="1"/>
    <xf numFmtId="166" fontId="87" fillId="0" borderId="1" xfId="1" applyFont="1" applyBorder="1" applyAlignment="1">
      <alignment horizontal="center"/>
    </xf>
    <xf numFmtId="168" fontId="87" fillId="0" borderId="1" xfId="5626" applyNumberFormat="1"/>
    <xf numFmtId="0" fontId="143" fillId="3" borderId="127" xfId="0" applyFont="1" applyFill="1" applyBorder="1"/>
    <xf numFmtId="0" fontId="143" fillId="3" borderId="128" xfId="0" applyFont="1" applyFill="1" applyBorder="1"/>
    <xf numFmtId="0" fontId="143" fillId="3" borderId="128" xfId="0" applyFont="1" applyFill="1" applyBorder="1" applyAlignment="1">
      <alignment horizontal="center"/>
    </xf>
    <xf numFmtId="174" fontId="143" fillId="3" borderId="128" xfId="0" applyNumberFormat="1" applyFont="1" applyFill="1" applyBorder="1"/>
    <xf numFmtId="37" fontId="143" fillId="3" borderId="128" xfId="0" applyNumberFormat="1" applyFont="1" applyFill="1" applyBorder="1"/>
    <xf numFmtId="174" fontId="143" fillId="3" borderId="129" xfId="0" applyNumberFormat="1" applyFont="1" applyFill="1" applyBorder="1"/>
    <xf numFmtId="3" fontId="133" fillId="3" borderId="27" xfId="0" applyNumberFormat="1" applyFont="1" applyFill="1" applyBorder="1"/>
    <xf numFmtId="0" fontId="60" fillId="0" borderId="0" xfId="0" applyFont="1"/>
    <xf numFmtId="0" fontId="55" fillId="0" borderId="1" xfId="11280" applyFont="1" applyAlignment="1">
      <alignment horizontal="center"/>
    </xf>
    <xf numFmtId="0" fontId="55" fillId="0" borderId="224" xfId="11280" applyFont="1" applyBorder="1" applyAlignment="1">
      <alignment horizontal="center"/>
    </xf>
    <xf numFmtId="0" fontId="55" fillId="0" borderId="0" xfId="0" applyFont="1"/>
    <xf numFmtId="9" fontId="140" fillId="0" borderId="14" xfId="2" applyFont="1" applyBorder="1" applyAlignment="1">
      <alignment horizontal="right"/>
    </xf>
    <xf numFmtId="0" fontId="45" fillId="0" borderId="0" xfId="0" applyFont="1"/>
    <xf numFmtId="3" fontId="55" fillId="0" borderId="0" xfId="0" applyNumberFormat="1" applyFont="1"/>
    <xf numFmtId="0" fontId="40" fillId="0" borderId="1" xfId="11280" applyFont="1" applyAlignment="1">
      <alignment horizontal="center"/>
    </xf>
    <xf numFmtId="174" fontId="140" fillId="0" borderId="1" xfId="0" applyNumberFormat="1" applyFont="1" applyBorder="1"/>
    <xf numFmtId="0" fontId="35" fillId="0" borderId="1" xfId="11280" applyFont="1" applyAlignment="1">
      <alignment horizontal="center"/>
    </xf>
    <xf numFmtId="183" fontId="29" fillId="36" borderId="1" xfId="11321" applyNumberFormat="1" applyFill="1" applyAlignment="1">
      <alignment horizontal="right" vertical="center"/>
    </xf>
    <xf numFmtId="183" fontId="28" fillId="36" borderId="1" xfId="11322" applyNumberFormat="1" applyFill="1" applyAlignment="1">
      <alignment horizontal="right" vertical="center"/>
    </xf>
    <xf numFmtId="0" fontId="28" fillId="36" borderId="1" xfId="11322" applyFill="1"/>
    <xf numFmtId="183" fontId="26" fillId="36" borderId="1" xfId="11324" applyNumberFormat="1" applyFill="1" applyAlignment="1">
      <alignment horizontal="right" vertical="center"/>
    </xf>
    <xf numFmtId="0" fontId="26" fillId="36" borderId="1" xfId="11324" applyFill="1"/>
    <xf numFmtId="164" fontId="139" fillId="0" borderId="0" xfId="0" applyNumberFormat="1" applyFont="1"/>
    <xf numFmtId="0" fontId="205" fillId="0" borderId="0" xfId="0" applyFont="1"/>
    <xf numFmtId="171" fontId="141" fillId="0" borderId="73" xfId="0" applyNumberFormat="1" applyFont="1" applyBorder="1"/>
    <xf numFmtId="0" fontId="15" fillId="0" borderId="0" xfId="0" applyFont="1"/>
    <xf numFmtId="9" fontId="140" fillId="0" borderId="8" xfId="2" applyFont="1" applyBorder="1"/>
    <xf numFmtId="0" fontId="13" fillId="36" borderId="1" xfId="11337" applyFill="1"/>
    <xf numFmtId="183" fontId="13" fillId="36" borderId="1" xfId="11337" applyNumberFormat="1" applyFill="1" applyAlignment="1">
      <alignment horizontal="right" vertical="center"/>
    </xf>
    <xf numFmtId="39" fontId="141" fillId="0" borderId="73" xfId="0" applyNumberFormat="1" applyFont="1" applyBorder="1"/>
    <xf numFmtId="49" fontId="3" fillId="36" borderId="1" xfId="11347" applyNumberFormat="1" applyFill="1" applyAlignment="1">
      <alignment horizontal="left" vertical="center"/>
    </xf>
    <xf numFmtId="0" fontId="3" fillId="36" borderId="1" xfId="11347" applyFill="1"/>
    <xf numFmtId="183" fontId="3" fillId="36" borderId="1" xfId="11347" applyNumberFormat="1" applyFill="1" applyAlignment="1">
      <alignment horizontal="right" vertical="center"/>
    </xf>
    <xf numFmtId="9" fontId="139" fillId="0" borderId="0" xfId="2" applyFont="1"/>
    <xf numFmtId="49" fontId="195" fillId="36" borderId="1" xfId="11349" applyNumberFormat="1" applyFont="1" applyFill="1" applyAlignment="1">
      <alignment horizontal="left" vertical="center"/>
    </xf>
    <xf numFmtId="183" fontId="195" fillId="36" borderId="1" xfId="11349" applyNumberFormat="1" applyFont="1" applyFill="1" applyAlignment="1">
      <alignment horizontal="right" vertical="center"/>
    </xf>
    <xf numFmtId="49" fontId="1" fillId="36" borderId="1" xfId="11349" applyNumberFormat="1" applyFill="1" applyAlignment="1">
      <alignment horizontal="left" vertical="center"/>
    </xf>
    <xf numFmtId="0" fontId="1" fillId="36" borderId="1" xfId="11349" applyFill="1"/>
    <xf numFmtId="183" fontId="1" fillId="36" borderId="1" xfId="11349" applyNumberFormat="1" applyFill="1" applyAlignment="1">
      <alignment horizontal="right" vertical="center"/>
    </xf>
    <xf numFmtId="0" fontId="129" fillId="8" borderId="44" xfId="0" applyFont="1" applyFill="1" applyBorder="1" applyAlignment="1">
      <alignment horizontal="center" vertical="center" wrapText="1"/>
    </xf>
    <xf numFmtId="0" fontId="137" fillId="0" borderId="49" xfId="0" applyFont="1" applyBorder="1"/>
    <xf numFmtId="0" fontId="153" fillId="9" borderId="50" xfId="0" applyFont="1" applyFill="1" applyBorder="1" applyAlignment="1">
      <alignment horizontal="center" vertical="center" wrapText="1"/>
    </xf>
    <xf numFmtId="0" fontId="137" fillId="0" borderId="51" xfId="0" applyFont="1" applyBorder="1"/>
    <xf numFmtId="0" fontId="133" fillId="0" borderId="17" xfId="0" applyFont="1" applyBorder="1" applyAlignment="1">
      <alignment horizontal="center"/>
    </xf>
    <xf numFmtId="0" fontId="137" fillId="0" borderId="17" xfId="0" applyFont="1" applyBorder="1"/>
    <xf numFmtId="0" fontId="137" fillId="0" borderId="4" xfId="0" applyFont="1" applyBorder="1"/>
    <xf numFmtId="0" fontId="133" fillId="0" borderId="16" xfId="0" applyFont="1" applyBorder="1" applyAlignment="1">
      <alignment horizontal="center"/>
    </xf>
    <xf numFmtId="0" fontId="137" fillId="0" borderId="18" xfId="0" applyFont="1" applyBorder="1"/>
    <xf numFmtId="0" fontId="133" fillId="0" borderId="3" xfId="0" applyFont="1" applyBorder="1" applyAlignment="1">
      <alignment horizontal="center"/>
    </xf>
    <xf numFmtId="0" fontId="133" fillId="0" borderId="104" xfId="0" applyFont="1" applyBorder="1" applyAlignment="1">
      <alignment horizontal="center" vertical="center"/>
    </xf>
    <xf numFmtId="0" fontId="137" fillId="0" borderId="102" xfId="0" applyFont="1" applyBorder="1"/>
    <xf numFmtId="0" fontId="137" fillId="0" borderId="105" xfId="0" applyFont="1" applyBorder="1"/>
    <xf numFmtId="0" fontId="133" fillId="0" borderId="102" xfId="0" applyFont="1" applyBorder="1" applyAlignment="1">
      <alignment horizontal="center" vertical="center"/>
    </xf>
    <xf numFmtId="0" fontId="137" fillId="0" borderId="103" xfId="0" applyFont="1" applyBorder="1"/>
    <xf numFmtId="0" fontId="131" fillId="13" borderId="89" xfId="0" applyFont="1" applyFill="1" applyBorder="1" applyAlignment="1">
      <alignment horizontal="left" vertical="top" wrapText="1"/>
    </xf>
    <xf numFmtId="0" fontId="137" fillId="0" borderId="69" xfId="0" applyFont="1" applyBorder="1"/>
    <xf numFmtId="0" fontId="137" fillId="0" borderId="83" xfId="0" applyFont="1" applyBorder="1"/>
    <xf numFmtId="0" fontId="153" fillId="0" borderId="14" xfId="0" applyFont="1" applyBorder="1" applyAlignment="1">
      <alignment horizontal="center"/>
    </xf>
    <xf numFmtId="0" fontId="137" fillId="0" borderId="14" xfId="0" applyFont="1" applyBorder="1"/>
    <xf numFmtId="0" fontId="200" fillId="0" borderId="234" xfId="11280" applyFont="1" applyBorder="1" applyAlignment="1">
      <alignment horizontal="center" wrapText="1"/>
    </xf>
    <xf numFmtId="0" fontId="200" fillId="0" borderId="235" xfId="11280" applyFont="1" applyBorder="1" applyAlignment="1">
      <alignment horizontal="center" wrapText="1"/>
    </xf>
    <xf numFmtId="0" fontId="200" fillId="0" borderId="236" xfId="11280" applyFont="1" applyBorder="1" applyAlignment="1">
      <alignment horizontal="center" wrapText="1"/>
    </xf>
    <xf numFmtId="0" fontId="198" fillId="0" borderId="221" xfId="5626" applyFont="1" applyBorder="1" applyAlignment="1">
      <alignment horizontal="center"/>
    </xf>
    <xf numFmtId="0" fontId="198" fillId="0" borderId="223" xfId="5626" applyFont="1" applyBorder="1" applyAlignment="1">
      <alignment horizontal="center"/>
    </xf>
    <xf numFmtId="0" fontId="200" fillId="0" borderId="1" xfId="5626" applyFont="1" applyAlignment="1">
      <alignment horizontal="left" vertical="center"/>
    </xf>
    <xf numFmtId="2" fontId="198" fillId="38" borderId="221" xfId="5626" applyNumberFormat="1" applyFont="1" applyFill="1" applyBorder="1" applyAlignment="1">
      <alignment horizontal="center"/>
    </xf>
    <xf numFmtId="2" fontId="198" fillId="38" borderId="222" xfId="5626" applyNumberFormat="1" applyFont="1" applyFill="1" applyBorder="1" applyAlignment="1">
      <alignment horizontal="center"/>
    </xf>
    <xf numFmtId="2" fontId="198" fillId="38" borderId="223" xfId="5626" applyNumberFormat="1" applyFont="1" applyFill="1" applyBorder="1" applyAlignment="1">
      <alignment horizontal="center"/>
    </xf>
    <xf numFmtId="2" fontId="198" fillId="38" borderId="221" xfId="5626" applyNumberFormat="1" applyFont="1" applyFill="1" applyBorder="1" applyAlignment="1">
      <alignment horizontal="center" wrapText="1"/>
    </xf>
    <xf numFmtId="2" fontId="198" fillId="38" borderId="222" xfId="5626" applyNumberFormat="1" applyFont="1" applyFill="1" applyBorder="1" applyAlignment="1">
      <alignment horizontal="center" wrapText="1"/>
    </xf>
    <xf numFmtId="2" fontId="198" fillId="38" borderId="223" xfId="5626" applyNumberFormat="1" applyFont="1" applyFill="1" applyBorder="1" applyAlignment="1">
      <alignment horizontal="center" wrapText="1"/>
    </xf>
    <xf numFmtId="0" fontId="198" fillId="0" borderId="1" xfId="5626" applyFont="1" applyAlignment="1">
      <alignment horizontal="center"/>
    </xf>
    <xf numFmtId="0" fontId="129" fillId="0" borderId="127" xfId="0" applyFont="1" applyBorder="1" applyAlignment="1">
      <alignment horizontal="center"/>
    </xf>
    <xf numFmtId="0" fontId="137" fillId="0" borderId="128" xfId="0" applyFont="1" applyBorder="1"/>
    <xf numFmtId="0" fontId="137" fillId="0" borderId="129" xfId="0" applyFont="1" applyBorder="1"/>
    <xf numFmtId="0" fontId="130" fillId="0" borderId="130" xfId="0" applyFont="1" applyBorder="1" applyAlignment="1">
      <alignment horizontal="center"/>
    </xf>
    <xf numFmtId="0" fontId="137" fillId="0" borderId="63" xfId="0" applyFont="1" applyBorder="1"/>
    <xf numFmtId="0" fontId="137" fillId="0" borderId="131" xfId="0" applyFont="1" applyBorder="1"/>
    <xf numFmtId="10" fontId="143" fillId="3" borderId="108" xfId="2" applyNumberFormat="1" applyFont="1" applyFill="1" applyBorder="1"/>
    <xf numFmtId="10" fontId="143" fillId="3" borderId="31" xfId="0" applyNumberFormat="1" applyFont="1" applyFill="1" applyBorder="1"/>
  </cellXfs>
  <cellStyles count="11350">
    <cellStyle name="Comma 10" xfId="33"/>
    <cellStyle name="Comma 10 2" xfId="65"/>
    <cellStyle name="Comma 10 2 2" xfId="145"/>
    <cellStyle name="Comma 10 2 2 2" xfId="317"/>
    <cellStyle name="Comma 10 2 2 2 2" xfId="661"/>
    <cellStyle name="Comma 10 2 2 2 2 2" xfId="1357"/>
    <cellStyle name="Comma 10 2 2 2 2 2 2" xfId="2758"/>
    <cellStyle name="Comma 10 2 2 2 2 2 2 2" xfId="5568"/>
    <cellStyle name="Comma 10 2 2 2 2 2 2 2 2" xfId="11204"/>
    <cellStyle name="Comma 10 2 2 2 2 2 2 3" xfId="8394"/>
    <cellStyle name="Comma 10 2 2 2 2 2 3" xfId="4167"/>
    <cellStyle name="Comma 10 2 2 2 2 2 3 2" xfId="9803"/>
    <cellStyle name="Comma 10 2 2 2 2 2 4" xfId="6993"/>
    <cellStyle name="Comma 10 2 2 2 2 3" xfId="2062"/>
    <cellStyle name="Comma 10 2 2 2 2 3 2" xfId="4872"/>
    <cellStyle name="Comma 10 2 2 2 2 3 2 2" xfId="10508"/>
    <cellStyle name="Comma 10 2 2 2 2 3 3" xfId="7698"/>
    <cellStyle name="Comma 10 2 2 2 2 4" xfId="3471"/>
    <cellStyle name="Comma 10 2 2 2 2 4 2" xfId="9107"/>
    <cellStyle name="Comma 10 2 2 2 2 5" xfId="6297"/>
    <cellStyle name="Comma 10 2 2 2 3" xfId="1013"/>
    <cellStyle name="Comma 10 2 2 2 3 2" xfId="2414"/>
    <cellStyle name="Comma 10 2 2 2 3 2 2" xfId="5224"/>
    <cellStyle name="Comma 10 2 2 2 3 2 2 2" xfId="10860"/>
    <cellStyle name="Comma 10 2 2 2 3 2 3" xfId="8050"/>
    <cellStyle name="Comma 10 2 2 2 3 3" xfId="3823"/>
    <cellStyle name="Comma 10 2 2 2 3 3 2" xfId="9459"/>
    <cellStyle name="Comma 10 2 2 2 3 4" xfId="6649"/>
    <cellStyle name="Comma 10 2 2 2 4" xfId="1718"/>
    <cellStyle name="Comma 10 2 2 2 4 2" xfId="4528"/>
    <cellStyle name="Comma 10 2 2 2 4 2 2" xfId="10164"/>
    <cellStyle name="Comma 10 2 2 2 4 3" xfId="7354"/>
    <cellStyle name="Comma 10 2 2 2 5" xfId="3127"/>
    <cellStyle name="Comma 10 2 2 2 5 2" xfId="8763"/>
    <cellStyle name="Comma 10 2 2 2 6" xfId="5953"/>
    <cellStyle name="Comma 10 2 2 3" xfId="489"/>
    <cellStyle name="Comma 10 2 2 3 2" xfId="1185"/>
    <cellStyle name="Comma 10 2 2 3 2 2" xfId="2586"/>
    <cellStyle name="Comma 10 2 2 3 2 2 2" xfId="5396"/>
    <cellStyle name="Comma 10 2 2 3 2 2 2 2" xfId="11032"/>
    <cellStyle name="Comma 10 2 2 3 2 2 3" xfId="8222"/>
    <cellStyle name="Comma 10 2 2 3 2 3" xfId="3995"/>
    <cellStyle name="Comma 10 2 2 3 2 3 2" xfId="9631"/>
    <cellStyle name="Comma 10 2 2 3 2 4" xfId="6821"/>
    <cellStyle name="Comma 10 2 2 3 3" xfId="1890"/>
    <cellStyle name="Comma 10 2 2 3 3 2" xfId="4700"/>
    <cellStyle name="Comma 10 2 2 3 3 2 2" xfId="10336"/>
    <cellStyle name="Comma 10 2 2 3 3 3" xfId="7526"/>
    <cellStyle name="Comma 10 2 2 3 4" xfId="3299"/>
    <cellStyle name="Comma 10 2 2 3 4 2" xfId="8935"/>
    <cellStyle name="Comma 10 2 2 3 5" xfId="6125"/>
    <cellStyle name="Comma 10 2 2 4" xfId="841"/>
    <cellStyle name="Comma 10 2 2 4 2" xfId="2242"/>
    <cellStyle name="Comma 10 2 2 4 2 2" xfId="5052"/>
    <cellStyle name="Comma 10 2 2 4 2 2 2" xfId="10688"/>
    <cellStyle name="Comma 10 2 2 4 2 3" xfId="7878"/>
    <cellStyle name="Comma 10 2 2 4 3" xfId="3651"/>
    <cellStyle name="Comma 10 2 2 4 3 2" xfId="9287"/>
    <cellStyle name="Comma 10 2 2 4 4" xfId="6477"/>
    <cellStyle name="Comma 10 2 2 5" xfId="1546"/>
    <cellStyle name="Comma 10 2 2 5 2" xfId="4356"/>
    <cellStyle name="Comma 10 2 2 5 2 2" xfId="9992"/>
    <cellStyle name="Comma 10 2 2 5 3" xfId="7182"/>
    <cellStyle name="Comma 10 2 2 6" xfId="2955"/>
    <cellStyle name="Comma 10 2 2 6 2" xfId="8591"/>
    <cellStyle name="Comma 10 2 2 7" xfId="5781"/>
    <cellStyle name="Comma 10 2 3" xfId="237"/>
    <cellStyle name="Comma 10 2 3 2" xfId="581"/>
    <cellStyle name="Comma 10 2 3 2 2" xfId="1277"/>
    <cellStyle name="Comma 10 2 3 2 2 2" xfId="2678"/>
    <cellStyle name="Comma 10 2 3 2 2 2 2" xfId="5488"/>
    <cellStyle name="Comma 10 2 3 2 2 2 2 2" xfId="11124"/>
    <cellStyle name="Comma 10 2 3 2 2 2 3" xfId="8314"/>
    <cellStyle name="Comma 10 2 3 2 2 3" xfId="4087"/>
    <cellStyle name="Comma 10 2 3 2 2 3 2" xfId="9723"/>
    <cellStyle name="Comma 10 2 3 2 2 4" xfId="6913"/>
    <cellStyle name="Comma 10 2 3 2 3" xfId="1982"/>
    <cellStyle name="Comma 10 2 3 2 3 2" xfId="4792"/>
    <cellStyle name="Comma 10 2 3 2 3 2 2" xfId="10428"/>
    <cellStyle name="Comma 10 2 3 2 3 3" xfId="7618"/>
    <cellStyle name="Comma 10 2 3 2 4" xfId="3391"/>
    <cellStyle name="Comma 10 2 3 2 4 2" xfId="9027"/>
    <cellStyle name="Comma 10 2 3 2 5" xfId="6217"/>
    <cellStyle name="Comma 10 2 3 3" xfId="933"/>
    <cellStyle name="Comma 10 2 3 3 2" xfId="2334"/>
    <cellStyle name="Comma 10 2 3 3 2 2" xfId="5144"/>
    <cellStyle name="Comma 10 2 3 3 2 2 2" xfId="10780"/>
    <cellStyle name="Comma 10 2 3 3 2 3" xfId="7970"/>
    <cellStyle name="Comma 10 2 3 3 3" xfId="3743"/>
    <cellStyle name="Comma 10 2 3 3 3 2" xfId="9379"/>
    <cellStyle name="Comma 10 2 3 3 4" xfId="6569"/>
    <cellStyle name="Comma 10 2 3 4" xfId="1638"/>
    <cellStyle name="Comma 10 2 3 4 2" xfId="4448"/>
    <cellStyle name="Comma 10 2 3 4 2 2" xfId="10084"/>
    <cellStyle name="Comma 10 2 3 4 3" xfId="7274"/>
    <cellStyle name="Comma 10 2 3 5" xfId="3047"/>
    <cellStyle name="Comma 10 2 3 5 2" xfId="8683"/>
    <cellStyle name="Comma 10 2 3 6" xfId="5873"/>
    <cellStyle name="Comma 10 2 4" xfId="409"/>
    <cellStyle name="Comma 10 2 4 2" xfId="1105"/>
    <cellStyle name="Comma 10 2 4 2 2" xfId="2506"/>
    <cellStyle name="Comma 10 2 4 2 2 2" xfId="5316"/>
    <cellStyle name="Comma 10 2 4 2 2 2 2" xfId="10952"/>
    <cellStyle name="Comma 10 2 4 2 2 3" xfId="8142"/>
    <cellStyle name="Comma 10 2 4 2 3" xfId="3915"/>
    <cellStyle name="Comma 10 2 4 2 3 2" xfId="9551"/>
    <cellStyle name="Comma 10 2 4 2 4" xfId="6741"/>
    <cellStyle name="Comma 10 2 4 3" xfId="1810"/>
    <cellStyle name="Comma 10 2 4 3 2" xfId="4620"/>
    <cellStyle name="Comma 10 2 4 3 2 2" xfId="10256"/>
    <cellStyle name="Comma 10 2 4 3 3" xfId="7446"/>
    <cellStyle name="Comma 10 2 4 4" xfId="3219"/>
    <cellStyle name="Comma 10 2 4 4 2" xfId="8855"/>
    <cellStyle name="Comma 10 2 4 5" xfId="6045"/>
    <cellStyle name="Comma 10 2 5" xfId="761"/>
    <cellStyle name="Comma 10 2 5 2" xfId="2162"/>
    <cellStyle name="Comma 10 2 5 2 2" xfId="4972"/>
    <cellStyle name="Comma 10 2 5 2 2 2" xfId="10608"/>
    <cellStyle name="Comma 10 2 5 2 3" xfId="7798"/>
    <cellStyle name="Comma 10 2 5 3" xfId="3571"/>
    <cellStyle name="Comma 10 2 5 3 2" xfId="9207"/>
    <cellStyle name="Comma 10 2 5 4" xfId="6397"/>
    <cellStyle name="Comma 10 2 6" xfId="1466"/>
    <cellStyle name="Comma 10 2 6 2" xfId="4276"/>
    <cellStyle name="Comma 10 2 6 2 2" xfId="9912"/>
    <cellStyle name="Comma 10 2 6 3" xfId="7102"/>
    <cellStyle name="Comma 10 2 7" xfId="2875"/>
    <cellStyle name="Comma 10 2 7 2" xfId="8511"/>
    <cellStyle name="Comma 10 2 8" xfId="5701"/>
    <cellStyle name="Comma 10 3" xfId="113"/>
    <cellStyle name="Comma 10 3 2" xfId="285"/>
    <cellStyle name="Comma 10 3 2 2" xfId="629"/>
    <cellStyle name="Comma 10 3 2 2 2" xfId="1325"/>
    <cellStyle name="Comma 10 3 2 2 2 2" xfId="2726"/>
    <cellStyle name="Comma 10 3 2 2 2 2 2" xfId="5536"/>
    <cellStyle name="Comma 10 3 2 2 2 2 2 2" xfId="11172"/>
    <cellStyle name="Comma 10 3 2 2 2 2 3" xfId="8362"/>
    <cellStyle name="Comma 10 3 2 2 2 3" xfId="4135"/>
    <cellStyle name="Comma 10 3 2 2 2 3 2" xfId="9771"/>
    <cellStyle name="Comma 10 3 2 2 2 4" xfId="6961"/>
    <cellStyle name="Comma 10 3 2 2 3" xfId="2030"/>
    <cellStyle name="Comma 10 3 2 2 3 2" xfId="4840"/>
    <cellStyle name="Comma 10 3 2 2 3 2 2" xfId="10476"/>
    <cellStyle name="Comma 10 3 2 2 3 3" xfId="7666"/>
    <cellStyle name="Comma 10 3 2 2 4" xfId="3439"/>
    <cellStyle name="Comma 10 3 2 2 4 2" xfId="9075"/>
    <cellStyle name="Comma 10 3 2 2 5" xfId="6265"/>
    <cellStyle name="Comma 10 3 2 3" xfId="981"/>
    <cellStyle name="Comma 10 3 2 3 2" xfId="2382"/>
    <cellStyle name="Comma 10 3 2 3 2 2" xfId="5192"/>
    <cellStyle name="Comma 10 3 2 3 2 2 2" xfId="10828"/>
    <cellStyle name="Comma 10 3 2 3 2 3" xfId="8018"/>
    <cellStyle name="Comma 10 3 2 3 3" xfId="3791"/>
    <cellStyle name="Comma 10 3 2 3 3 2" xfId="9427"/>
    <cellStyle name="Comma 10 3 2 3 4" xfId="6617"/>
    <cellStyle name="Comma 10 3 2 4" xfId="1686"/>
    <cellStyle name="Comma 10 3 2 4 2" xfId="4496"/>
    <cellStyle name="Comma 10 3 2 4 2 2" xfId="10132"/>
    <cellStyle name="Comma 10 3 2 4 3" xfId="7322"/>
    <cellStyle name="Comma 10 3 2 5" xfId="3095"/>
    <cellStyle name="Comma 10 3 2 5 2" xfId="8731"/>
    <cellStyle name="Comma 10 3 2 6" xfId="5921"/>
    <cellStyle name="Comma 10 3 3" xfId="457"/>
    <cellStyle name="Comma 10 3 3 2" xfId="1153"/>
    <cellStyle name="Comma 10 3 3 2 2" xfId="2554"/>
    <cellStyle name="Comma 10 3 3 2 2 2" xfId="5364"/>
    <cellStyle name="Comma 10 3 3 2 2 2 2" xfId="11000"/>
    <cellStyle name="Comma 10 3 3 2 2 3" xfId="8190"/>
    <cellStyle name="Comma 10 3 3 2 3" xfId="3963"/>
    <cellStyle name="Comma 10 3 3 2 3 2" xfId="9599"/>
    <cellStyle name="Comma 10 3 3 2 4" xfId="6789"/>
    <cellStyle name="Comma 10 3 3 3" xfId="1858"/>
    <cellStyle name="Comma 10 3 3 3 2" xfId="4668"/>
    <cellStyle name="Comma 10 3 3 3 2 2" xfId="10304"/>
    <cellStyle name="Comma 10 3 3 3 3" xfId="7494"/>
    <cellStyle name="Comma 10 3 3 4" xfId="3267"/>
    <cellStyle name="Comma 10 3 3 4 2" xfId="8903"/>
    <cellStyle name="Comma 10 3 3 5" xfId="6093"/>
    <cellStyle name="Comma 10 3 4" xfId="809"/>
    <cellStyle name="Comma 10 3 4 2" xfId="2210"/>
    <cellStyle name="Comma 10 3 4 2 2" xfId="5020"/>
    <cellStyle name="Comma 10 3 4 2 2 2" xfId="10656"/>
    <cellStyle name="Comma 10 3 4 2 3" xfId="7846"/>
    <cellStyle name="Comma 10 3 4 3" xfId="3619"/>
    <cellStyle name="Comma 10 3 4 3 2" xfId="9255"/>
    <cellStyle name="Comma 10 3 4 4" xfId="6445"/>
    <cellStyle name="Comma 10 3 5" xfId="1514"/>
    <cellStyle name="Comma 10 3 5 2" xfId="4324"/>
    <cellStyle name="Comma 10 3 5 2 2" xfId="9960"/>
    <cellStyle name="Comma 10 3 5 3" xfId="7150"/>
    <cellStyle name="Comma 10 3 6" xfId="2923"/>
    <cellStyle name="Comma 10 3 6 2" xfId="8559"/>
    <cellStyle name="Comma 10 3 7" xfId="5749"/>
    <cellStyle name="Comma 10 4" xfId="205"/>
    <cellStyle name="Comma 10 4 2" xfId="549"/>
    <cellStyle name="Comma 10 4 2 2" xfId="1245"/>
    <cellStyle name="Comma 10 4 2 2 2" xfId="2646"/>
    <cellStyle name="Comma 10 4 2 2 2 2" xfId="5456"/>
    <cellStyle name="Comma 10 4 2 2 2 2 2" xfId="11092"/>
    <cellStyle name="Comma 10 4 2 2 2 3" xfId="8282"/>
    <cellStyle name="Comma 10 4 2 2 3" xfId="4055"/>
    <cellStyle name="Comma 10 4 2 2 3 2" xfId="9691"/>
    <cellStyle name="Comma 10 4 2 2 4" xfId="6881"/>
    <cellStyle name="Comma 10 4 2 3" xfId="1950"/>
    <cellStyle name="Comma 10 4 2 3 2" xfId="4760"/>
    <cellStyle name="Comma 10 4 2 3 2 2" xfId="10396"/>
    <cellStyle name="Comma 10 4 2 3 3" xfId="7586"/>
    <cellStyle name="Comma 10 4 2 4" xfId="3359"/>
    <cellStyle name="Comma 10 4 2 4 2" xfId="8995"/>
    <cellStyle name="Comma 10 4 2 5" xfId="6185"/>
    <cellStyle name="Comma 10 4 3" xfId="901"/>
    <cellStyle name="Comma 10 4 3 2" xfId="2302"/>
    <cellStyle name="Comma 10 4 3 2 2" xfId="5112"/>
    <cellStyle name="Comma 10 4 3 2 2 2" xfId="10748"/>
    <cellStyle name="Comma 10 4 3 2 3" xfId="7938"/>
    <cellStyle name="Comma 10 4 3 3" xfId="3711"/>
    <cellStyle name="Comma 10 4 3 3 2" xfId="9347"/>
    <cellStyle name="Comma 10 4 3 4" xfId="6537"/>
    <cellStyle name="Comma 10 4 4" xfId="1606"/>
    <cellStyle name="Comma 10 4 4 2" xfId="4416"/>
    <cellStyle name="Comma 10 4 4 2 2" xfId="10052"/>
    <cellStyle name="Comma 10 4 4 3" xfId="7242"/>
    <cellStyle name="Comma 10 4 5" xfId="3015"/>
    <cellStyle name="Comma 10 4 5 2" xfId="8651"/>
    <cellStyle name="Comma 10 4 6" xfId="5841"/>
    <cellStyle name="Comma 10 5" xfId="377"/>
    <cellStyle name="Comma 10 5 2" xfId="1073"/>
    <cellStyle name="Comma 10 5 2 2" xfId="2474"/>
    <cellStyle name="Comma 10 5 2 2 2" xfId="5284"/>
    <cellStyle name="Comma 10 5 2 2 2 2" xfId="10920"/>
    <cellStyle name="Comma 10 5 2 2 3" xfId="8110"/>
    <cellStyle name="Comma 10 5 2 3" xfId="3883"/>
    <cellStyle name="Comma 10 5 2 3 2" xfId="9519"/>
    <cellStyle name="Comma 10 5 2 4" xfId="6709"/>
    <cellStyle name="Comma 10 5 3" xfId="1778"/>
    <cellStyle name="Comma 10 5 3 2" xfId="4588"/>
    <cellStyle name="Comma 10 5 3 2 2" xfId="10224"/>
    <cellStyle name="Comma 10 5 3 3" xfId="7414"/>
    <cellStyle name="Comma 10 5 4" xfId="3187"/>
    <cellStyle name="Comma 10 5 4 2" xfId="8823"/>
    <cellStyle name="Comma 10 5 5" xfId="6013"/>
    <cellStyle name="Comma 10 6" xfId="729"/>
    <cellStyle name="Comma 10 6 2" xfId="2130"/>
    <cellStyle name="Comma 10 6 2 2" xfId="4940"/>
    <cellStyle name="Comma 10 6 2 2 2" xfId="10576"/>
    <cellStyle name="Comma 10 6 2 3" xfId="7766"/>
    <cellStyle name="Comma 10 6 3" xfId="3539"/>
    <cellStyle name="Comma 10 6 3 2" xfId="9175"/>
    <cellStyle name="Comma 10 6 4" xfId="6365"/>
    <cellStyle name="Comma 10 7" xfId="1434"/>
    <cellStyle name="Comma 10 7 2" xfId="4244"/>
    <cellStyle name="Comma 10 7 2 2" xfId="9880"/>
    <cellStyle name="Comma 10 7 3" xfId="7070"/>
    <cellStyle name="Comma 10 8" xfId="2843"/>
    <cellStyle name="Comma 10 8 2" xfId="8479"/>
    <cellStyle name="Comma 10 9" xfId="5669"/>
    <cellStyle name="Comma 11" xfId="68"/>
    <cellStyle name="Comma 11 2" xfId="148"/>
    <cellStyle name="Comma 11 2 2" xfId="320"/>
    <cellStyle name="Comma 11 2 2 2" xfId="664"/>
    <cellStyle name="Comma 11 2 2 2 2" xfId="1360"/>
    <cellStyle name="Comma 11 2 2 2 2 2" xfId="2761"/>
    <cellStyle name="Comma 11 2 2 2 2 2 2" xfId="5571"/>
    <cellStyle name="Comma 11 2 2 2 2 2 2 2" xfId="11207"/>
    <cellStyle name="Comma 11 2 2 2 2 2 3" xfId="8397"/>
    <cellStyle name="Comma 11 2 2 2 2 3" xfId="4170"/>
    <cellStyle name="Comma 11 2 2 2 2 3 2" xfId="9806"/>
    <cellStyle name="Comma 11 2 2 2 2 4" xfId="6996"/>
    <cellStyle name="Comma 11 2 2 2 3" xfId="2065"/>
    <cellStyle name="Comma 11 2 2 2 3 2" xfId="4875"/>
    <cellStyle name="Comma 11 2 2 2 3 2 2" xfId="10511"/>
    <cellStyle name="Comma 11 2 2 2 3 3" xfId="7701"/>
    <cellStyle name="Comma 11 2 2 2 4" xfId="3474"/>
    <cellStyle name="Comma 11 2 2 2 4 2" xfId="9110"/>
    <cellStyle name="Comma 11 2 2 2 5" xfId="6300"/>
    <cellStyle name="Comma 11 2 2 3" xfId="1016"/>
    <cellStyle name="Comma 11 2 2 3 2" xfId="2417"/>
    <cellStyle name="Comma 11 2 2 3 2 2" xfId="5227"/>
    <cellStyle name="Comma 11 2 2 3 2 2 2" xfId="10863"/>
    <cellStyle name="Comma 11 2 2 3 2 3" xfId="8053"/>
    <cellStyle name="Comma 11 2 2 3 3" xfId="3826"/>
    <cellStyle name="Comma 11 2 2 3 3 2" xfId="9462"/>
    <cellStyle name="Comma 11 2 2 3 4" xfId="6652"/>
    <cellStyle name="Comma 11 2 2 4" xfId="1721"/>
    <cellStyle name="Comma 11 2 2 4 2" xfId="4531"/>
    <cellStyle name="Comma 11 2 2 4 2 2" xfId="10167"/>
    <cellStyle name="Comma 11 2 2 4 3" xfId="7357"/>
    <cellStyle name="Comma 11 2 2 5" xfId="3130"/>
    <cellStyle name="Comma 11 2 2 5 2" xfId="8766"/>
    <cellStyle name="Comma 11 2 2 6" xfId="5956"/>
    <cellStyle name="Comma 11 2 3" xfId="492"/>
    <cellStyle name="Comma 11 2 3 2" xfId="1188"/>
    <cellStyle name="Comma 11 2 3 2 2" xfId="2589"/>
    <cellStyle name="Comma 11 2 3 2 2 2" xfId="5399"/>
    <cellStyle name="Comma 11 2 3 2 2 2 2" xfId="11035"/>
    <cellStyle name="Comma 11 2 3 2 2 3" xfId="8225"/>
    <cellStyle name="Comma 11 2 3 2 3" xfId="3998"/>
    <cellStyle name="Comma 11 2 3 2 3 2" xfId="9634"/>
    <cellStyle name="Comma 11 2 3 2 4" xfId="6824"/>
    <cellStyle name="Comma 11 2 3 3" xfId="1893"/>
    <cellStyle name="Comma 11 2 3 3 2" xfId="4703"/>
    <cellStyle name="Comma 11 2 3 3 2 2" xfId="10339"/>
    <cellStyle name="Comma 11 2 3 3 3" xfId="7529"/>
    <cellStyle name="Comma 11 2 3 4" xfId="3302"/>
    <cellStyle name="Comma 11 2 3 4 2" xfId="8938"/>
    <cellStyle name="Comma 11 2 3 5" xfId="6128"/>
    <cellStyle name="Comma 11 2 4" xfId="844"/>
    <cellStyle name="Comma 11 2 4 2" xfId="2245"/>
    <cellStyle name="Comma 11 2 4 2 2" xfId="5055"/>
    <cellStyle name="Comma 11 2 4 2 2 2" xfId="10691"/>
    <cellStyle name="Comma 11 2 4 2 3" xfId="7881"/>
    <cellStyle name="Comma 11 2 4 3" xfId="3654"/>
    <cellStyle name="Comma 11 2 4 3 2" xfId="9290"/>
    <cellStyle name="Comma 11 2 4 4" xfId="6480"/>
    <cellStyle name="Comma 11 2 5" xfId="1549"/>
    <cellStyle name="Comma 11 2 5 2" xfId="4359"/>
    <cellStyle name="Comma 11 2 5 2 2" xfId="9995"/>
    <cellStyle name="Comma 11 2 5 3" xfId="7185"/>
    <cellStyle name="Comma 11 2 6" xfId="2958"/>
    <cellStyle name="Comma 11 2 6 2" xfId="8594"/>
    <cellStyle name="Comma 11 2 7" xfId="5784"/>
    <cellStyle name="Comma 11 3" xfId="240"/>
    <cellStyle name="Comma 11 3 2" xfId="584"/>
    <cellStyle name="Comma 11 3 2 2" xfId="1280"/>
    <cellStyle name="Comma 11 3 2 2 2" xfId="2681"/>
    <cellStyle name="Comma 11 3 2 2 2 2" xfId="5491"/>
    <cellStyle name="Comma 11 3 2 2 2 2 2" xfId="11127"/>
    <cellStyle name="Comma 11 3 2 2 2 3" xfId="8317"/>
    <cellStyle name="Comma 11 3 2 2 3" xfId="4090"/>
    <cellStyle name="Comma 11 3 2 2 3 2" xfId="9726"/>
    <cellStyle name="Comma 11 3 2 2 4" xfId="6916"/>
    <cellStyle name="Comma 11 3 2 3" xfId="1985"/>
    <cellStyle name="Comma 11 3 2 3 2" xfId="4795"/>
    <cellStyle name="Comma 11 3 2 3 2 2" xfId="10431"/>
    <cellStyle name="Comma 11 3 2 3 3" xfId="7621"/>
    <cellStyle name="Comma 11 3 2 4" xfId="3394"/>
    <cellStyle name="Comma 11 3 2 4 2" xfId="9030"/>
    <cellStyle name="Comma 11 3 2 5" xfId="6220"/>
    <cellStyle name="Comma 11 3 3" xfId="936"/>
    <cellStyle name="Comma 11 3 3 2" xfId="2337"/>
    <cellStyle name="Comma 11 3 3 2 2" xfId="5147"/>
    <cellStyle name="Comma 11 3 3 2 2 2" xfId="10783"/>
    <cellStyle name="Comma 11 3 3 2 3" xfId="7973"/>
    <cellStyle name="Comma 11 3 3 3" xfId="3746"/>
    <cellStyle name="Comma 11 3 3 3 2" xfId="9382"/>
    <cellStyle name="Comma 11 3 3 4" xfId="6572"/>
    <cellStyle name="Comma 11 3 4" xfId="1641"/>
    <cellStyle name="Comma 11 3 4 2" xfId="4451"/>
    <cellStyle name="Comma 11 3 4 2 2" xfId="10087"/>
    <cellStyle name="Comma 11 3 4 3" xfId="7277"/>
    <cellStyle name="Comma 11 3 5" xfId="3050"/>
    <cellStyle name="Comma 11 3 5 2" xfId="8686"/>
    <cellStyle name="Comma 11 3 6" xfId="5876"/>
    <cellStyle name="Comma 11 4" xfId="412"/>
    <cellStyle name="Comma 11 4 2" xfId="1108"/>
    <cellStyle name="Comma 11 4 2 2" xfId="2509"/>
    <cellStyle name="Comma 11 4 2 2 2" xfId="5319"/>
    <cellStyle name="Comma 11 4 2 2 2 2" xfId="10955"/>
    <cellStyle name="Comma 11 4 2 2 3" xfId="8145"/>
    <cellStyle name="Comma 11 4 2 3" xfId="3918"/>
    <cellStyle name="Comma 11 4 2 3 2" xfId="9554"/>
    <cellStyle name="Comma 11 4 2 4" xfId="6744"/>
    <cellStyle name="Comma 11 4 3" xfId="1813"/>
    <cellStyle name="Comma 11 4 3 2" xfId="4623"/>
    <cellStyle name="Comma 11 4 3 2 2" xfId="10259"/>
    <cellStyle name="Comma 11 4 3 3" xfId="7449"/>
    <cellStyle name="Comma 11 4 4" xfId="3222"/>
    <cellStyle name="Comma 11 4 4 2" xfId="8858"/>
    <cellStyle name="Comma 11 4 5" xfId="6048"/>
    <cellStyle name="Comma 11 5" xfId="764"/>
    <cellStyle name="Comma 11 5 2" xfId="2165"/>
    <cellStyle name="Comma 11 5 2 2" xfId="4975"/>
    <cellStyle name="Comma 11 5 2 2 2" xfId="10611"/>
    <cellStyle name="Comma 11 5 2 3" xfId="7801"/>
    <cellStyle name="Comma 11 5 3" xfId="3574"/>
    <cellStyle name="Comma 11 5 3 2" xfId="9210"/>
    <cellStyle name="Comma 11 5 4" xfId="6400"/>
    <cellStyle name="Comma 11 6" xfId="1469"/>
    <cellStyle name="Comma 11 6 2" xfId="4279"/>
    <cellStyle name="Comma 11 6 2 2" xfId="9915"/>
    <cellStyle name="Comma 11 6 3" xfId="7105"/>
    <cellStyle name="Comma 11 7" xfId="2878"/>
    <cellStyle name="Comma 11 7 2" xfId="8514"/>
    <cellStyle name="Comma 11 8" xfId="5704"/>
    <cellStyle name="Comma 12" xfId="70"/>
    <cellStyle name="Comma 12 2" xfId="150"/>
    <cellStyle name="Comma 12 2 2" xfId="322"/>
    <cellStyle name="Comma 12 2 2 2" xfId="666"/>
    <cellStyle name="Comma 12 2 2 2 2" xfId="1362"/>
    <cellStyle name="Comma 12 2 2 2 2 2" xfId="2763"/>
    <cellStyle name="Comma 12 2 2 2 2 2 2" xfId="5573"/>
    <cellStyle name="Comma 12 2 2 2 2 2 2 2" xfId="11209"/>
    <cellStyle name="Comma 12 2 2 2 2 2 3" xfId="8399"/>
    <cellStyle name="Comma 12 2 2 2 2 3" xfId="4172"/>
    <cellStyle name="Comma 12 2 2 2 2 3 2" xfId="9808"/>
    <cellStyle name="Comma 12 2 2 2 2 4" xfId="6998"/>
    <cellStyle name="Comma 12 2 2 2 3" xfId="2067"/>
    <cellStyle name="Comma 12 2 2 2 3 2" xfId="4877"/>
    <cellStyle name="Comma 12 2 2 2 3 2 2" xfId="10513"/>
    <cellStyle name="Comma 12 2 2 2 3 3" xfId="7703"/>
    <cellStyle name="Comma 12 2 2 2 4" xfId="3476"/>
    <cellStyle name="Comma 12 2 2 2 4 2" xfId="9112"/>
    <cellStyle name="Comma 12 2 2 2 5" xfId="6302"/>
    <cellStyle name="Comma 12 2 2 3" xfId="1018"/>
    <cellStyle name="Comma 12 2 2 3 2" xfId="2419"/>
    <cellStyle name="Comma 12 2 2 3 2 2" xfId="5229"/>
    <cellStyle name="Comma 12 2 2 3 2 2 2" xfId="10865"/>
    <cellStyle name="Comma 12 2 2 3 2 3" xfId="8055"/>
    <cellStyle name="Comma 12 2 2 3 3" xfId="3828"/>
    <cellStyle name="Comma 12 2 2 3 3 2" xfId="9464"/>
    <cellStyle name="Comma 12 2 2 3 4" xfId="6654"/>
    <cellStyle name="Comma 12 2 2 4" xfId="1723"/>
    <cellStyle name="Comma 12 2 2 4 2" xfId="4533"/>
    <cellStyle name="Comma 12 2 2 4 2 2" xfId="10169"/>
    <cellStyle name="Comma 12 2 2 4 3" xfId="7359"/>
    <cellStyle name="Comma 12 2 2 5" xfId="3132"/>
    <cellStyle name="Comma 12 2 2 5 2" xfId="8768"/>
    <cellStyle name="Comma 12 2 2 6" xfId="5958"/>
    <cellStyle name="Comma 12 2 3" xfId="494"/>
    <cellStyle name="Comma 12 2 3 2" xfId="1190"/>
    <cellStyle name="Comma 12 2 3 2 2" xfId="2591"/>
    <cellStyle name="Comma 12 2 3 2 2 2" xfId="5401"/>
    <cellStyle name="Comma 12 2 3 2 2 2 2" xfId="11037"/>
    <cellStyle name="Comma 12 2 3 2 2 3" xfId="8227"/>
    <cellStyle name="Comma 12 2 3 2 3" xfId="4000"/>
    <cellStyle name="Comma 12 2 3 2 3 2" xfId="9636"/>
    <cellStyle name="Comma 12 2 3 2 4" xfId="6826"/>
    <cellStyle name="Comma 12 2 3 3" xfId="1895"/>
    <cellStyle name="Comma 12 2 3 3 2" xfId="4705"/>
    <cellStyle name="Comma 12 2 3 3 2 2" xfId="10341"/>
    <cellStyle name="Comma 12 2 3 3 3" xfId="7531"/>
    <cellStyle name="Comma 12 2 3 4" xfId="3304"/>
    <cellStyle name="Comma 12 2 3 4 2" xfId="8940"/>
    <cellStyle name="Comma 12 2 3 5" xfId="6130"/>
    <cellStyle name="Comma 12 2 4" xfId="846"/>
    <cellStyle name="Comma 12 2 4 2" xfId="2247"/>
    <cellStyle name="Comma 12 2 4 2 2" xfId="5057"/>
    <cellStyle name="Comma 12 2 4 2 2 2" xfId="10693"/>
    <cellStyle name="Comma 12 2 4 2 3" xfId="7883"/>
    <cellStyle name="Comma 12 2 4 3" xfId="3656"/>
    <cellStyle name="Comma 12 2 4 3 2" xfId="9292"/>
    <cellStyle name="Comma 12 2 4 4" xfId="6482"/>
    <cellStyle name="Comma 12 2 5" xfId="1551"/>
    <cellStyle name="Comma 12 2 5 2" xfId="4361"/>
    <cellStyle name="Comma 12 2 5 2 2" xfId="9997"/>
    <cellStyle name="Comma 12 2 5 3" xfId="7187"/>
    <cellStyle name="Comma 12 2 6" xfId="2960"/>
    <cellStyle name="Comma 12 2 6 2" xfId="8596"/>
    <cellStyle name="Comma 12 2 7" xfId="5786"/>
    <cellStyle name="Comma 12 3" xfId="242"/>
    <cellStyle name="Comma 12 3 2" xfId="586"/>
    <cellStyle name="Comma 12 3 2 2" xfId="1282"/>
    <cellStyle name="Comma 12 3 2 2 2" xfId="2683"/>
    <cellStyle name="Comma 12 3 2 2 2 2" xfId="5493"/>
    <cellStyle name="Comma 12 3 2 2 2 2 2" xfId="11129"/>
    <cellStyle name="Comma 12 3 2 2 2 3" xfId="8319"/>
    <cellStyle name="Comma 12 3 2 2 3" xfId="4092"/>
    <cellStyle name="Comma 12 3 2 2 3 2" xfId="9728"/>
    <cellStyle name="Comma 12 3 2 2 4" xfId="6918"/>
    <cellStyle name="Comma 12 3 2 3" xfId="1987"/>
    <cellStyle name="Comma 12 3 2 3 2" xfId="4797"/>
    <cellStyle name="Comma 12 3 2 3 2 2" xfId="10433"/>
    <cellStyle name="Comma 12 3 2 3 3" xfId="7623"/>
    <cellStyle name="Comma 12 3 2 4" xfId="3396"/>
    <cellStyle name="Comma 12 3 2 4 2" xfId="9032"/>
    <cellStyle name="Comma 12 3 2 5" xfId="6222"/>
    <cellStyle name="Comma 12 3 3" xfId="938"/>
    <cellStyle name="Comma 12 3 3 2" xfId="2339"/>
    <cellStyle name="Comma 12 3 3 2 2" xfId="5149"/>
    <cellStyle name="Comma 12 3 3 2 2 2" xfId="10785"/>
    <cellStyle name="Comma 12 3 3 2 3" xfId="7975"/>
    <cellStyle name="Comma 12 3 3 3" xfId="3748"/>
    <cellStyle name="Comma 12 3 3 3 2" xfId="9384"/>
    <cellStyle name="Comma 12 3 3 4" xfId="6574"/>
    <cellStyle name="Comma 12 3 4" xfId="1643"/>
    <cellStyle name="Comma 12 3 4 2" xfId="4453"/>
    <cellStyle name="Comma 12 3 4 2 2" xfId="10089"/>
    <cellStyle name="Comma 12 3 4 3" xfId="7279"/>
    <cellStyle name="Comma 12 3 5" xfId="3052"/>
    <cellStyle name="Comma 12 3 5 2" xfId="8688"/>
    <cellStyle name="Comma 12 3 6" xfId="5878"/>
    <cellStyle name="Comma 12 4" xfId="414"/>
    <cellStyle name="Comma 12 4 2" xfId="1110"/>
    <cellStyle name="Comma 12 4 2 2" xfId="2511"/>
    <cellStyle name="Comma 12 4 2 2 2" xfId="5321"/>
    <cellStyle name="Comma 12 4 2 2 2 2" xfId="10957"/>
    <cellStyle name="Comma 12 4 2 2 3" xfId="8147"/>
    <cellStyle name="Comma 12 4 2 3" xfId="3920"/>
    <cellStyle name="Comma 12 4 2 3 2" xfId="9556"/>
    <cellStyle name="Comma 12 4 2 4" xfId="6746"/>
    <cellStyle name="Comma 12 4 3" xfId="1815"/>
    <cellStyle name="Comma 12 4 3 2" xfId="4625"/>
    <cellStyle name="Comma 12 4 3 2 2" xfId="10261"/>
    <cellStyle name="Comma 12 4 3 3" xfId="7451"/>
    <cellStyle name="Comma 12 4 4" xfId="3224"/>
    <cellStyle name="Comma 12 4 4 2" xfId="8860"/>
    <cellStyle name="Comma 12 4 5" xfId="6050"/>
    <cellStyle name="Comma 12 5" xfId="766"/>
    <cellStyle name="Comma 12 5 2" xfId="2167"/>
    <cellStyle name="Comma 12 5 2 2" xfId="4977"/>
    <cellStyle name="Comma 12 5 2 2 2" xfId="10613"/>
    <cellStyle name="Comma 12 5 2 3" xfId="7803"/>
    <cellStyle name="Comma 12 5 3" xfId="3576"/>
    <cellStyle name="Comma 12 5 3 2" xfId="9212"/>
    <cellStyle name="Comma 12 5 4" xfId="6402"/>
    <cellStyle name="Comma 12 6" xfId="1471"/>
    <cellStyle name="Comma 12 6 2" xfId="4281"/>
    <cellStyle name="Comma 12 6 2 2" xfId="9917"/>
    <cellStyle name="Comma 12 6 3" xfId="7107"/>
    <cellStyle name="Comma 12 7" xfId="2880"/>
    <cellStyle name="Comma 12 7 2" xfId="8516"/>
    <cellStyle name="Comma 12 8" xfId="5706"/>
    <cellStyle name="Comma 13" xfId="72"/>
    <cellStyle name="Comma 13 2" xfId="152"/>
    <cellStyle name="Comma 13 2 2" xfId="324"/>
    <cellStyle name="Comma 13 2 2 2" xfId="668"/>
    <cellStyle name="Comma 13 2 2 2 2" xfId="1364"/>
    <cellStyle name="Comma 13 2 2 2 2 2" xfId="2765"/>
    <cellStyle name="Comma 13 2 2 2 2 2 2" xfId="5575"/>
    <cellStyle name="Comma 13 2 2 2 2 2 2 2" xfId="11211"/>
    <cellStyle name="Comma 13 2 2 2 2 2 3" xfId="8401"/>
    <cellStyle name="Comma 13 2 2 2 2 3" xfId="4174"/>
    <cellStyle name="Comma 13 2 2 2 2 3 2" xfId="9810"/>
    <cellStyle name="Comma 13 2 2 2 2 4" xfId="7000"/>
    <cellStyle name="Comma 13 2 2 2 3" xfId="2069"/>
    <cellStyle name="Comma 13 2 2 2 3 2" xfId="4879"/>
    <cellStyle name="Comma 13 2 2 2 3 2 2" xfId="10515"/>
    <cellStyle name="Comma 13 2 2 2 3 3" xfId="7705"/>
    <cellStyle name="Comma 13 2 2 2 4" xfId="3478"/>
    <cellStyle name="Comma 13 2 2 2 4 2" xfId="9114"/>
    <cellStyle name="Comma 13 2 2 2 5" xfId="6304"/>
    <cellStyle name="Comma 13 2 2 3" xfId="1020"/>
    <cellStyle name="Comma 13 2 2 3 2" xfId="2421"/>
    <cellStyle name="Comma 13 2 2 3 2 2" xfId="5231"/>
    <cellStyle name="Comma 13 2 2 3 2 2 2" xfId="10867"/>
    <cellStyle name="Comma 13 2 2 3 2 3" xfId="8057"/>
    <cellStyle name="Comma 13 2 2 3 3" xfId="3830"/>
    <cellStyle name="Comma 13 2 2 3 3 2" xfId="9466"/>
    <cellStyle name="Comma 13 2 2 3 4" xfId="6656"/>
    <cellStyle name="Comma 13 2 2 4" xfId="1725"/>
    <cellStyle name="Comma 13 2 2 4 2" xfId="4535"/>
    <cellStyle name="Comma 13 2 2 4 2 2" xfId="10171"/>
    <cellStyle name="Comma 13 2 2 4 3" xfId="7361"/>
    <cellStyle name="Comma 13 2 2 5" xfId="3134"/>
    <cellStyle name="Comma 13 2 2 5 2" xfId="8770"/>
    <cellStyle name="Comma 13 2 2 6" xfId="5960"/>
    <cellStyle name="Comma 13 2 3" xfId="496"/>
    <cellStyle name="Comma 13 2 3 2" xfId="1192"/>
    <cellStyle name="Comma 13 2 3 2 2" xfId="2593"/>
    <cellStyle name="Comma 13 2 3 2 2 2" xfId="5403"/>
    <cellStyle name="Comma 13 2 3 2 2 2 2" xfId="11039"/>
    <cellStyle name="Comma 13 2 3 2 2 3" xfId="8229"/>
    <cellStyle name="Comma 13 2 3 2 3" xfId="4002"/>
    <cellStyle name="Comma 13 2 3 2 3 2" xfId="9638"/>
    <cellStyle name="Comma 13 2 3 2 4" xfId="6828"/>
    <cellStyle name="Comma 13 2 3 3" xfId="1897"/>
    <cellStyle name="Comma 13 2 3 3 2" xfId="4707"/>
    <cellStyle name="Comma 13 2 3 3 2 2" xfId="10343"/>
    <cellStyle name="Comma 13 2 3 3 3" xfId="7533"/>
    <cellStyle name="Comma 13 2 3 4" xfId="3306"/>
    <cellStyle name="Comma 13 2 3 4 2" xfId="8942"/>
    <cellStyle name="Comma 13 2 3 5" xfId="6132"/>
    <cellStyle name="Comma 13 2 4" xfId="848"/>
    <cellStyle name="Comma 13 2 4 2" xfId="2249"/>
    <cellStyle name="Comma 13 2 4 2 2" xfId="5059"/>
    <cellStyle name="Comma 13 2 4 2 2 2" xfId="10695"/>
    <cellStyle name="Comma 13 2 4 2 3" xfId="7885"/>
    <cellStyle name="Comma 13 2 4 3" xfId="3658"/>
    <cellStyle name="Comma 13 2 4 3 2" xfId="9294"/>
    <cellStyle name="Comma 13 2 4 4" xfId="6484"/>
    <cellStyle name="Comma 13 2 5" xfId="1553"/>
    <cellStyle name="Comma 13 2 5 2" xfId="4363"/>
    <cellStyle name="Comma 13 2 5 2 2" xfId="9999"/>
    <cellStyle name="Comma 13 2 5 3" xfId="7189"/>
    <cellStyle name="Comma 13 2 6" xfId="2962"/>
    <cellStyle name="Comma 13 2 6 2" xfId="8598"/>
    <cellStyle name="Comma 13 2 7" xfId="5788"/>
    <cellStyle name="Comma 13 3" xfId="244"/>
    <cellStyle name="Comma 13 3 2" xfId="588"/>
    <cellStyle name="Comma 13 3 2 2" xfId="1284"/>
    <cellStyle name="Comma 13 3 2 2 2" xfId="2685"/>
    <cellStyle name="Comma 13 3 2 2 2 2" xfId="5495"/>
    <cellStyle name="Comma 13 3 2 2 2 2 2" xfId="11131"/>
    <cellStyle name="Comma 13 3 2 2 2 3" xfId="8321"/>
    <cellStyle name="Comma 13 3 2 2 3" xfId="4094"/>
    <cellStyle name="Comma 13 3 2 2 3 2" xfId="9730"/>
    <cellStyle name="Comma 13 3 2 2 4" xfId="6920"/>
    <cellStyle name="Comma 13 3 2 3" xfId="1989"/>
    <cellStyle name="Comma 13 3 2 3 2" xfId="4799"/>
    <cellStyle name="Comma 13 3 2 3 2 2" xfId="10435"/>
    <cellStyle name="Comma 13 3 2 3 3" xfId="7625"/>
    <cellStyle name="Comma 13 3 2 4" xfId="3398"/>
    <cellStyle name="Comma 13 3 2 4 2" xfId="9034"/>
    <cellStyle name="Comma 13 3 2 5" xfId="6224"/>
    <cellStyle name="Comma 13 3 3" xfId="940"/>
    <cellStyle name="Comma 13 3 3 2" xfId="2341"/>
    <cellStyle name="Comma 13 3 3 2 2" xfId="5151"/>
    <cellStyle name="Comma 13 3 3 2 2 2" xfId="10787"/>
    <cellStyle name="Comma 13 3 3 2 3" xfId="7977"/>
    <cellStyle name="Comma 13 3 3 3" xfId="3750"/>
    <cellStyle name="Comma 13 3 3 3 2" xfId="9386"/>
    <cellStyle name="Comma 13 3 3 4" xfId="6576"/>
    <cellStyle name="Comma 13 3 4" xfId="1645"/>
    <cellStyle name="Comma 13 3 4 2" xfId="4455"/>
    <cellStyle name="Comma 13 3 4 2 2" xfId="10091"/>
    <cellStyle name="Comma 13 3 4 3" xfId="7281"/>
    <cellStyle name="Comma 13 3 5" xfId="3054"/>
    <cellStyle name="Comma 13 3 5 2" xfId="8690"/>
    <cellStyle name="Comma 13 3 6" xfId="5880"/>
    <cellStyle name="Comma 13 4" xfId="416"/>
    <cellStyle name="Comma 13 4 2" xfId="1112"/>
    <cellStyle name="Comma 13 4 2 2" xfId="2513"/>
    <cellStyle name="Comma 13 4 2 2 2" xfId="5323"/>
    <cellStyle name="Comma 13 4 2 2 2 2" xfId="10959"/>
    <cellStyle name="Comma 13 4 2 2 3" xfId="8149"/>
    <cellStyle name="Comma 13 4 2 3" xfId="3922"/>
    <cellStyle name="Comma 13 4 2 3 2" xfId="9558"/>
    <cellStyle name="Comma 13 4 2 4" xfId="6748"/>
    <cellStyle name="Comma 13 4 3" xfId="1817"/>
    <cellStyle name="Comma 13 4 3 2" xfId="4627"/>
    <cellStyle name="Comma 13 4 3 2 2" xfId="10263"/>
    <cellStyle name="Comma 13 4 3 3" xfId="7453"/>
    <cellStyle name="Comma 13 4 4" xfId="3226"/>
    <cellStyle name="Comma 13 4 4 2" xfId="8862"/>
    <cellStyle name="Comma 13 4 5" xfId="6052"/>
    <cellStyle name="Comma 13 5" xfId="768"/>
    <cellStyle name="Comma 13 5 2" xfId="2169"/>
    <cellStyle name="Comma 13 5 2 2" xfId="4979"/>
    <cellStyle name="Comma 13 5 2 2 2" xfId="10615"/>
    <cellStyle name="Comma 13 5 2 3" xfId="7805"/>
    <cellStyle name="Comma 13 5 3" xfId="3578"/>
    <cellStyle name="Comma 13 5 3 2" xfId="9214"/>
    <cellStyle name="Comma 13 5 4" xfId="6404"/>
    <cellStyle name="Comma 13 6" xfId="1473"/>
    <cellStyle name="Comma 13 6 2" xfId="4283"/>
    <cellStyle name="Comma 13 6 2 2" xfId="9919"/>
    <cellStyle name="Comma 13 6 3" xfId="7109"/>
    <cellStyle name="Comma 13 7" xfId="2882"/>
    <cellStyle name="Comma 13 7 2" xfId="8518"/>
    <cellStyle name="Comma 13 8" xfId="5708"/>
    <cellStyle name="Comma 14" xfId="74"/>
    <cellStyle name="Comma 14 2" xfId="154"/>
    <cellStyle name="Comma 14 2 2" xfId="326"/>
    <cellStyle name="Comma 14 2 2 2" xfId="670"/>
    <cellStyle name="Comma 14 2 2 2 2" xfId="1366"/>
    <cellStyle name="Comma 14 2 2 2 2 2" xfId="2767"/>
    <cellStyle name="Comma 14 2 2 2 2 2 2" xfId="5577"/>
    <cellStyle name="Comma 14 2 2 2 2 2 2 2" xfId="11213"/>
    <cellStyle name="Comma 14 2 2 2 2 2 3" xfId="8403"/>
    <cellStyle name="Comma 14 2 2 2 2 3" xfId="4176"/>
    <cellStyle name="Comma 14 2 2 2 2 3 2" xfId="9812"/>
    <cellStyle name="Comma 14 2 2 2 2 4" xfId="7002"/>
    <cellStyle name="Comma 14 2 2 2 3" xfId="2071"/>
    <cellStyle name="Comma 14 2 2 2 3 2" xfId="4881"/>
    <cellStyle name="Comma 14 2 2 2 3 2 2" xfId="10517"/>
    <cellStyle name="Comma 14 2 2 2 3 3" xfId="7707"/>
    <cellStyle name="Comma 14 2 2 2 4" xfId="3480"/>
    <cellStyle name="Comma 14 2 2 2 4 2" xfId="9116"/>
    <cellStyle name="Comma 14 2 2 2 5" xfId="6306"/>
    <cellStyle name="Comma 14 2 2 3" xfId="1022"/>
    <cellStyle name="Comma 14 2 2 3 2" xfId="2423"/>
    <cellStyle name="Comma 14 2 2 3 2 2" xfId="5233"/>
    <cellStyle name="Comma 14 2 2 3 2 2 2" xfId="10869"/>
    <cellStyle name="Comma 14 2 2 3 2 3" xfId="8059"/>
    <cellStyle name="Comma 14 2 2 3 3" xfId="3832"/>
    <cellStyle name="Comma 14 2 2 3 3 2" xfId="9468"/>
    <cellStyle name="Comma 14 2 2 3 4" xfId="6658"/>
    <cellStyle name="Comma 14 2 2 4" xfId="1727"/>
    <cellStyle name="Comma 14 2 2 4 2" xfId="4537"/>
    <cellStyle name="Comma 14 2 2 4 2 2" xfId="10173"/>
    <cellStyle name="Comma 14 2 2 4 3" xfId="7363"/>
    <cellStyle name="Comma 14 2 2 5" xfId="3136"/>
    <cellStyle name="Comma 14 2 2 5 2" xfId="8772"/>
    <cellStyle name="Comma 14 2 2 6" xfId="5962"/>
    <cellStyle name="Comma 14 2 3" xfId="498"/>
    <cellStyle name="Comma 14 2 3 2" xfId="1194"/>
    <cellStyle name="Comma 14 2 3 2 2" xfId="2595"/>
    <cellStyle name="Comma 14 2 3 2 2 2" xfId="5405"/>
    <cellStyle name="Comma 14 2 3 2 2 2 2" xfId="11041"/>
    <cellStyle name="Comma 14 2 3 2 2 3" xfId="8231"/>
    <cellStyle name="Comma 14 2 3 2 3" xfId="4004"/>
    <cellStyle name="Comma 14 2 3 2 3 2" xfId="9640"/>
    <cellStyle name="Comma 14 2 3 2 4" xfId="6830"/>
    <cellStyle name="Comma 14 2 3 3" xfId="1899"/>
    <cellStyle name="Comma 14 2 3 3 2" xfId="4709"/>
    <cellStyle name="Comma 14 2 3 3 2 2" xfId="10345"/>
    <cellStyle name="Comma 14 2 3 3 3" xfId="7535"/>
    <cellStyle name="Comma 14 2 3 4" xfId="3308"/>
    <cellStyle name="Comma 14 2 3 4 2" xfId="8944"/>
    <cellStyle name="Comma 14 2 3 5" xfId="6134"/>
    <cellStyle name="Comma 14 2 4" xfId="850"/>
    <cellStyle name="Comma 14 2 4 2" xfId="2251"/>
    <cellStyle name="Comma 14 2 4 2 2" xfId="5061"/>
    <cellStyle name="Comma 14 2 4 2 2 2" xfId="10697"/>
    <cellStyle name="Comma 14 2 4 2 3" xfId="7887"/>
    <cellStyle name="Comma 14 2 4 3" xfId="3660"/>
    <cellStyle name="Comma 14 2 4 3 2" xfId="9296"/>
    <cellStyle name="Comma 14 2 4 4" xfId="6486"/>
    <cellStyle name="Comma 14 2 5" xfId="1555"/>
    <cellStyle name="Comma 14 2 5 2" xfId="4365"/>
    <cellStyle name="Comma 14 2 5 2 2" xfId="10001"/>
    <cellStyle name="Comma 14 2 5 3" xfId="7191"/>
    <cellStyle name="Comma 14 2 6" xfId="2964"/>
    <cellStyle name="Comma 14 2 6 2" xfId="8600"/>
    <cellStyle name="Comma 14 2 7" xfId="5790"/>
    <cellStyle name="Comma 14 3" xfId="246"/>
    <cellStyle name="Comma 14 3 2" xfId="590"/>
    <cellStyle name="Comma 14 3 2 2" xfId="1286"/>
    <cellStyle name="Comma 14 3 2 2 2" xfId="2687"/>
    <cellStyle name="Comma 14 3 2 2 2 2" xfId="5497"/>
    <cellStyle name="Comma 14 3 2 2 2 2 2" xfId="11133"/>
    <cellStyle name="Comma 14 3 2 2 2 3" xfId="8323"/>
    <cellStyle name="Comma 14 3 2 2 3" xfId="4096"/>
    <cellStyle name="Comma 14 3 2 2 3 2" xfId="9732"/>
    <cellStyle name="Comma 14 3 2 2 4" xfId="6922"/>
    <cellStyle name="Comma 14 3 2 3" xfId="1991"/>
    <cellStyle name="Comma 14 3 2 3 2" xfId="4801"/>
    <cellStyle name="Comma 14 3 2 3 2 2" xfId="10437"/>
    <cellStyle name="Comma 14 3 2 3 3" xfId="7627"/>
    <cellStyle name="Comma 14 3 2 4" xfId="3400"/>
    <cellStyle name="Comma 14 3 2 4 2" xfId="9036"/>
    <cellStyle name="Comma 14 3 2 5" xfId="6226"/>
    <cellStyle name="Comma 14 3 3" xfId="942"/>
    <cellStyle name="Comma 14 3 3 2" xfId="2343"/>
    <cellStyle name="Comma 14 3 3 2 2" xfId="5153"/>
    <cellStyle name="Comma 14 3 3 2 2 2" xfId="10789"/>
    <cellStyle name="Comma 14 3 3 2 3" xfId="7979"/>
    <cellStyle name="Comma 14 3 3 3" xfId="3752"/>
    <cellStyle name="Comma 14 3 3 3 2" xfId="9388"/>
    <cellStyle name="Comma 14 3 3 4" xfId="6578"/>
    <cellStyle name="Comma 14 3 4" xfId="1647"/>
    <cellStyle name="Comma 14 3 4 2" xfId="4457"/>
    <cellStyle name="Comma 14 3 4 2 2" xfId="10093"/>
    <cellStyle name="Comma 14 3 4 3" xfId="7283"/>
    <cellStyle name="Comma 14 3 5" xfId="3056"/>
    <cellStyle name="Comma 14 3 5 2" xfId="8692"/>
    <cellStyle name="Comma 14 3 6" xfId="5882"/>
    <cellStyle name="Comma 14 4" xfId="418"/>
    <cellStyle name="Comma 14 4 2" xfId="1114"/>
    <cellStyle name="Comma 14 4 2 2" xfId="2515"/>
    <cellStyle name="Comma 14 4 2 2 2" xfId="5325"/>
    <cellStyle name="Comma 14 4 2 2 2 2" xfId="10961"/>
    <cellStyle name="Comma 14 4 2 2 3" xfId="8151"/>
    <cellStyle name="Comma 14 4 2 3" xfId="3924"/>
    <cellStyle name="Comma 14 4 2 3 2" xfId="9560"/>
    <cellStyle name="Comma 14 4 2 4" xfId="6750"/>
    <cellStyle name="Comma 14 4 3" xfId="1819"/>
    <cellStyle name="Comma 14 4 3 2" xfId="4629"/>
    <cellStyle name="Comma 14 4 3 2 2" xfId="10265"/>
    <cellStyle name="Comma 14 4 3 3" xfId="7455"/>
    <cellStyle name="Comma 14 4 4" xfId="3228"/>
    <cellStyle name="Comma 14 4 4 2" xfId="8864"/>
    <cellStyle name="Comma 14 4 5" xfId="6054"/>
    <cellStyle name="Comma 14 5" xfId="770"/>
    <cellStyle name="Comma 14 5 2" xfId="2171"/>
    <cellStyle name="Comma 14 5 2 2" xfId="4981"/>
    <cellStyle name="Comma 14 5 2 2 2" xfId="10617"/>
    <cellStyle name="Comma 14 5 2 3" xfId="7807"/>
    <cellStyle name="Comma 14 5 3" xfId="3580"/>
    <cellStyle name="Comma 14 5 3 2" xfId="9216"/>
    <cellStyle name="Comma 14 5 4" xfId="6406"/>
    <cellStyle name="Comma 14 6" xfId="1475"/>
    <cellStyle name="Comma 14 6 2" xfId="4285"/>
    <cellStyle name="Comma 14 6 2 2" xfId="9921"/>
    <cellStyle name="Comma 14 6 3" xfId="7111"/>
    <cellStyle name="Comma 14 7" xfId="2884"/>
    <cellStyle name="Comma 14 7 2" xfId="8520"/>
    <cellStyle name="Comma 14 8" xfId="5710"/>
    <cellStyle name="Comma 15" xfId="76"/>
    <cellStyle name="Comma 15 2" xfId="156"/>
    <cellStyle name="Comma 15 2 2" xfId="328"/>
    <cellStyle name="Comma 15 2 2 2" xfId="672"/>
    <cellStyle name="Comma 15 2 2 2 2" xfId="1368"/>
    <cellStyle name="Comma 15 2 2 2 2 2" xfId="2769"/>
    <cellStyle name="Comma 15 2 2 2 2 2 2" xfId="5579"/>
    <cellStyle name="Comma 15 2 2 2 2 2 2 2" xfId="11215"/>
    <cellStyle name="Comma 15 2 2 2 2 2 3" xfId="8405"/>
    <cellStyle name="Comma 15 2 2 2 2 3" xfId="4178"/>
    <cellStyle name="Comma 15 2 2 2 2 3 2" xfId="9814"/>
    <cellStyle name="Comma 15 2 2 2 2 4" xfId="7004"/>
    <cellStyle name="Comma 15 2 2 2 3" xfId="2073"/>
    <cellStyle name="Comma 15 2 2 2 3 2" xfId="4883"/>
    <cellStyle name="Comma 15 2 2 2 3 2 2" xfId="10519"/>
    <cellStyle name="Comma 15 2 2 2 3 3" xfId="7709"/>
    <cellStyle name="Comma 15 2 2 2 4" xfId="3482"/>
    <cellStyle name="Comma 15 2 2 2 4 2" xfId="9118"/>
    <cellStyle name="Comma 15 2 2 2 5" xfId="6308"/>
    <cellStyle name="Comma 15 2 2 3" xfId="1024"/>
    <cellStyle name="Comma 15 2 2 3 2" xfId="2425"/>
    <cellStyle name="Comma 15 2 2 3 2 2" xfId="5235"/>
    <cellStyle name="Comma 15 2 2 3 2 2 2" xfId="10871"/>
    <cellStyle name="Comma 15 2 2 3 2 3" xfId="8061"/>
    <cellStyle name="Comma 15 2 2 3 3" xfId="3834"/>
    <cellStyle name="Comma 15 2 2 3 3 2" xfId="9470"/>
    <cellStyle name="Comma 15 2 2 3 4" xfId="6660"/>
    <cellStyle name="Comma 15 2 2 4" xfId="1729"/>
    <cellStyle name="Comma 15 2 2 4 2" xfId="4539"/>
    <cellStyle name="Comma 15 2 2 4 2 2" xfId="10175"/>
    <cellStyle name="Comma 15 2 2 4 3" xfId="7365"/>
    <cellStyle name="Comma 15 2 2 5" xfId="3138"/>
    <cellStyle name="Comma 15 2 2 5 2" xfId="8774"/>
    <cellStyle name="Comma 15 2 2 6" xfId="5964"/>
    <cellStyle name="Comma 15 2 3" xfId="500"/>
    <cellStyle name="Comma 15 2 3 2" xfId="1196"/>
    <cellStyle name="Comma 15 2 3 2 2" xfId="2597"/>
    <cellStyle name="Comma 15 2 3 2 2 2" xfId="5407"/>
    <cellStyle name="Comma 15 2 3 2 2 2 2" xfId="11043"/>
    <cellStyle name="Comma 15 2 3 2 2 3" xfId="8233"/>
    <cellStyle name="Comma 15 2 3 2 3" xfId="4006"/>
    <cellStyle name="Comma 15 2 3 2 3 2" xfId="9642"/>
    <cellStyle name="Comma 15 2 3 2 4" xfId="6832"/>
    <cellStyle name="Comma 15 2 3 3" xfId="1901"/>
    <cellStyle name="Comma 15 2 3 3 2" xfId="4711"/>
    <cellStyle name="Comma 15 2 3 3 2 2" xfId="10347"/>
    <cellStyle name="Comma 15 2 3 3 3" xfId="7537"/>
    <cellStyle name="Comma 15 2 3 4" xfId="3310"/>
    <cellStyle name="Comma 15 2 3 4 2" xfId="8946"/>
    <cellStyle name="Comma 15 2 3 5" xfId="6136"/>
    <cellStyle name="Comma 15 2 4" xfId="852"/>
    <cellStyle name="Comma 15 2 4 2" xfId="2253"/>
    <cellStyle name="Comma 15 2 4 2 2" xfId="5063"/>
    <cellStyle name="Comma 15 2 4 2 2 2" xfId="10699"/>
    <cellStyle name="Comma 15 2 4 2 3" xfId="7889"/>
    <cellStyle name="Comma 15 2 4 3" xfId="3662"/>
    <cellStyle name="Comma 15 2 4 3 2" xfId="9298"/>
    <cellStyle name="Comma 15 2 4 4" xfId="6488"/>
    <cellStyle name="Comma 15 2 5" xfId="1557"/>
    <cellStyle name="Comma 15 2 5 2" xfId="4367"/>
    <cellStyle name="Comma 15 2 5 2 2" xfId="10003"/>
    <cellStyle name="Comma 15 2 5 3" xfId="7193"/>
    <cellStyle name="Comma 15 2 6" xfId="2966"/>
    <cellStyle name="Comma 15 2 6 2" xfId="8602"/>
    <cellStyle name="Comma 15 2 7" xfId="5792"/>
    <cellStyle name="Comma 15 3" xfId="248"/>
    <cellStyle name="Comma 15 3 2" xfId="592"/>
    <cellStyle name="Comma 15 3 2 2" xfId="1288"/>
    <cellStyle name="Comma 15 3 2 2 2" xfId="2689"/>
    <cellStyle name="Comma 15 3 2 2 2 2" xfId="5499"/>
    <cellStyle name="Comma 15 3 2 2 2 2 2" xfId="11135"/>
    <cellStyle name="Comma 15 3 2 2 2 3" xfId="8325"/>
    <cellStyle name="Comma 15 3 2 2 3" xfId="4098"/>
    <cellStyle name="Comma 15 3 2 2 3 2" xfId="9734"/>
    <cellStyle name="Comma 15 3 2 2 4" xfId="6924"/>
    <cellStyle name="Comma 15 3 2 3" xfId="1993"/>
    <cellStyle name="Comma 15 3 2 3 2" xfId="4803"/>
    <cellStyle name="Comma 15 3 2 3 2 2" xfId="10439"/>
    <cellStyle name="Comma 15 3 2 3 3" xfId="7629"/>
    <cellStyle name="Comma 15 3 2 4" xfId="3402"/>
    <cellStyle name="Comma 15 3 2 4 2" xfId="9038"/>
    <cellStyle name="Comma 15 3 2 5" xfId="6228"/>
    <cellStyle name="Comma 15 3 3" xfId="944"/>
    <cellStyle name="Comma 15 3 3 2" xfId="2345"/>
    <cellStyle name="Comma 15 3 3 2 2" xfId="5155"/>
    <cellStyle name="Comma 15 3 3 2 2 2" xfId="10791"/>
    <cellStyle name="Comma 15 3 3 2 3" xfId="7981"/>
    <cellStyle name="Comma 15 3 3 3" xfId="3754"/>
    <cellStyle name="Comma 15 3 3 3 2" xfId="9390"/>
    <cellStyle name="Comma 15 3 3 4" xfId="6580"/>
    <cellStyle name="Comma 15 3 4" xfId="1649"/>
    <cellStyle name="Comma 15 3 4 2" xfId="4459"/>
    <cellStyle name="Comma 15 3 4 2 2" xfId="10095"/>
    <cellStyle name="Comma 15 3 4 3" xfId="7285"/>
    <cellStyle name="Comma 15 3 5" xfId="3058"/>
    <cellStyle name="Comma 15 3 5 2" xfId="8694"/>
    <cellStyle name="Comma 15 3 6" xfId="5884"/>
    <cellStyle name="Comma 15 4" xfId="420"/>
    <cellStyle name="Comma 15 4 2" xfId="1116"/>
    <cellStyle name="Comma 15 4 2 2" xfId="2517"/>
    <cellStyle name="Comma 15 4 2 2 2" xfId="5327"/>
    <cellStyle name="Comma 15 4 2 2 2 2" xfId="10963"/>
    <cellStyle name="Comma 15 4 2 2 3" xfId="8153"/>
    <cellStyle name="Comma 15 4 2 3" xfId="3926"/>
    <cellStyle name="Comma 15 4 2 3 2" xfId="9562"/>
    <cellStyle name="Comma 15 4 2 4" xfId="6752"/>
    <cellStyle name="Comma 15 4 3" xfId="1821"/>
    <cellStyle name="Comma 15 4 3 2" xfId="4631"/>
    <cellStyle name="Comma 15 4 3 2 2" xfId="10267"/>
    <cellStyle name="Comma 15 4 3 3" xfId="7457"/>
    <cellStyle name="Comma 15 4 4" xfId="3230"/>
    <cellStyle name="Comma 15 4 4 2" xfId="8866"/>
    <cellStyle name="Comma 15 4 5" xfId="6056"/>
    <cellStyle name="Comma 15 5" xfId="772"/>
    <cellStyle name="Comma 15 5 2" xfId="2173"/>
    <cellStyle name="Comma 15 5 2 2" xfId="4983"/>
    <cellStyle name="Comma 15 5 2 2 2" xfId="10619"/>
    <cellStyle name="Comma 15 5 2 3" xfId="7809"/>
    <cellStyle name="Comma 15 5 3" xfId="3582"/>
    <cellStyle name="Comma 15 5 3 2" xfId="9218"/>
    <cellStyle name="Comma 15 5 4" xfId="6408"/>
    <cellStyle name="Comma 15 6" xfId="1477"/>
    <cellStyle name="Comma 15 6 2" xfId="4287"/>
    <cellStyle name="Comma 15 6 2 2" xfId="9923"/>
    <cellStyle name="Comma 15 6 3" xfId="7113"/>
    <cellStyle name="Comma 15 7" xfId="2886"/>
    <cellStyle name="Comma 15 7 2" xfId="8522"/>
    <cellStyle name="Comma 15 8" xfId="5712"/>
    <cellStyle name="Comma 16" xfId="78"/>
    <cellStyle name="Comma 16 2" xfId="158"/>
    <cellStyle name="Comma 16 2 2" xfId="330"/>
    <cellStyle name="Comma 16 2 2 2" xfId="674"/>
    <cellStyle name="Comma 16 2 2 2 2" xfId="1370"/>
    <cellStyle name="Comma 16 2 2 2 2 2" xfId="2771"/>
    <cellStyle name="Comma 16 2 2 2 2 2 2" xfId="5581"/>
    <cellStyle name="Comma 16 2 2 2 2 2 2 2" xfId="11217"/>
    <cellStyle name="Comma 16 2 2 2 2 2 3" xfId="8407"/>
    <cellStyle name="Comma 16 2 2 2 2 3" xfId="4180"/>
    <cellStyle name="Comma 16 2 2 2 2 3 2" xfId="9816"/>
    <cellStyle name="Comma 16 2 2 2 2 4" xfId="7006"/>
    <cellStyle name="Comma 16 2 2 2 3" xfId="2075"/>
    <cellStyle name="Comma 16 2 2 2 3 2" xfId="4885"/>
    <cellStyle name="Comma 16 2 2 2 3 2 2" xfId="10521"/>
    <cellStyle name="Comma 16 2 2 2 3 3" xfId="7711"/>
    <cellStyle name="Comma 16 2 2 2 4" xfId="3484"/>
    <cellStyle name="Comma 16 2 2 2 4 2" xfId="9120"/>
    <cellStyle name="Comma 16 2 2 2 5" xfId="6310"/>
    <cellStyle name="Comma 16 2 2 3" xfId="1026"/>
    <cellStyle name="Comma 16 2 2 3 2" xfId="2427"/>
    <cellStyle name="Comma 16 2 2 3 2 2" xfId="5237"/>
    <cellStyle name="Comma 16 2 2 3 2 2 2" xfId="10873"/>
    <cellStyle name="Comma 16 2 2 3 2 3" xfId="8063"/>
    <cellStyle name="Comma 16 2 2 3 3" xfId="3836"/>
    <cellStyle name="Comma 16 2 2 3 3 2" xfId="9472"/>
    <cellStyle name="Comma 16 2 2 3 4" xfId="6662"/>
    <cellStyle name="Comma 16 2 2 4" xfId="1731"/>
    <cellStyle name="Comma 16 2 2 4 2" xfId="4541"/>
    <cellStyle name="Comma 16 2 2 4 2 2" xfId="10177"/>
    <cellStyle name="Comma 16 2 2 4 3" xfId="7367"/>
    <cellStyle name="Comma 16 2 2 5" xfId="3140"/>
    <cellStyle name="Comma 16 2 2 5 2" xfId="8776"/>
    <cellStyle name="Comma 16 2 2 6" xfId="5966"/>
    <cellStyle name="Comma 16 2 3" xfId="502"/>
    <cellStyle name="Comma 16 2 3 2" xfId="1198"/>
    <cellStyle name="Comma 16 2 3 2 2" xfId="2599"/>
    <cellStyle name="Comma 16 2 3 2 2 2" xfId="5409"/>
    <cellStyle name="Comma 16 2 3 2 2 2 2" xfId="11045"/>
    <cellStyle name="Comma 16 2 3 2 2 3" xfId="8235"/>
    <cellStyle name="Comma 16 2 3 2 3" xfId="4008"/>
    <cellStyle name="Comma 16 2 3 2 3 2" xfId="9644"/>
    <cellStyle name="Comma 16 2 3 2 4" xfId="6834"/>
    <cellStyle name="Comma 16 2 3 3" xfId="1903"/>
    <cellStyle name="Comma 16 2 3 3 2" xfId="4713"/>
    <cellStyle name="Comma 16 2 3 3 2 2" xfId="10349"/>
    <cellStyle name="Comma 16 2 3 3 3" xfId="7539"/>
    <cellStyle name="Comma 16 2 3 4" xfId="3312"/>
    <cellStyle name="Comma 16 2 3 4 2" xfId="8948"/>
    <cellStyle name="Comma 16 2 3 5" xfId="6138"/>
    <cellStyle name="Comma 16 2 4" xfId="854"/>
    <cellStyle name="Comma 16 2 4 2" xfId="2255"/>
    <cellStyle name="Comma 16 2 4 2 2" xfId="5065"/>
    <cellStyle name="Comma 16 2 4 2 2 2" xfId="10701"/>
    <cellStyle name="Comma 16 2 4 2 3" xfId="7891"/>
    <cellStyle name="Comma 16 2 4 3" xfId="3664"/>
    <cellStyle name="Comma 16 2 4 3 2" xfId="9300"/>
    <cellStyle name="Comma 16 2 4 4" xfId="6490"/>
    <cellStyle name="Comma 16 2 5" xfId="1559"/>
    <cellStyle name="Comma 16 2 5 2" xfId="4369"/>
    <cellStyle name="Comma 16 2 5 2 2" xfId="10005"/>
    <cellStyle name="Comma 16 2 5 3" xfId="7195"/>
    <cellStyle name="Comma 16 2 6" xfId="2968"/>
    <cellStyle name="Comma 16 2 6 2" xfId="8604"/>
    <cellStyle name="Comma 16 2 7" xfId="5794"/>
    <cellStyle name="Comma 16 3" xfId="250"/>
    <cellStyle name="Comma 16 3 2" xfId="594"/>
    <cellStyle name="Comma 16 3 2 2" xfId="1290"/>
    <cellStyle name="Comma 16 3 2 2 2" xfId="2691"/>
    <cellStyle name="Comma 16 3 2 2 2 2" xfId="5501"/>
    <cellStyle name="Comma 16 3 2 2 2 2 2" xfId="11137"/>
    <cellStyle name="Comma 16 3 2 2 2 3" xfId="8327"/>
    <cellStyle name="Comma 16 3 2 2 3" xfId="4100"/>
    <cellStyle name="Comma 16 3 2 2 3 2" xfId="9736"/>
    <cellStyle name="Comma 16 3 2 2 4" xfId="6926"/>
    <cellStyle name="Comma 16 3 2 3" xfId="1995"/>
    <cellStyle name="Comma 16 3 2 3 2" xfId="4805"/>
    <cellStyle name="Comma 16 3 2 3 2 2" xfId="10441"/>
    <cellStyle name="Comma 16 3 2 3 3" xfId="7631"/>
    <cellStyle name="Comma 16 3 2 4" xfId="3404"/>
    <cellStyle name="Comma 16 3 2 4 2" xfId="9040"/>
    <cellStyle name="Comma 16 3 2 5" xfId="6230"/>
    <cellStyle name="Comma 16 3 3" xfId="946"/>
    <cellStyle name="Comma 16 3 3 2" xfId="2347"/>
    <cellStyle name="Comma 16 3 3 2 2" xfId="5157"/>
    <cellStyle name="Comma 16 3 3 2 2 2" xfId="10793"/>
    <cellStyle name="Comma 16 3 3 2 3" xfId="7983"/>
    <cellStyle name="Comma 16 3 3 3" xfId="3756"/>
    <cellStyle name="Comma 16 3 3 3 2" xfId="9392"/>
    <cellStyle name="Comma 16 3 3 4" xfId="6582"/>
    <cellStyle name="Comma 16 3 4" xfId="1651"/>
    <cellStyle name="Comma 16 3 4 2" xfId="4461"/>
    <cellStyle name="Comma 16 3 4 2 2" xfId="10097"/>
    <cellStyle name="Comma 16 3 4 3" xfId="7287"/>
    <cellStyle name="Comma 16 3 5" xfId="3060"/>
    <cellStyle name="Comma 16 3 5 2" xfId="8696"/>
    <cellStyle name="Comma 16 3 6" xfId="5886"/>
    <cellStyle name="Comma 16 4" xfId="422"/>
    <cellStyle name="Comma 16 4 2" xfId="1118"/>
    <cellStyle name="Comma 16 4 2 2" xfId="2519"/>
    <cellStyle name="Comma 16 4 2 2 2" xfId="5329"/>
    <cellStyle name="Comma 16 4 2 2 2 2" xfId="10965"/>
    <cellStyle name="Comma 16 4 2 2 3" xfId="8155"/>
    <cellStyle name="Comma 16 4 2 3" xfId="3928"/>
    <cellStyle name="Comma 16 4 2 3 2" xfId="9564"/>
    <cellStyle name="Comma 16 4 2 4" xfId="6754"/>
    <cellStyle name="Comma 16 4 3" xfId="1823"/>
    <cellStyle name="Comma 16 4 3 2" xfId="4633"/>
    <cellStyle name="Comma 16 4 3 2 2" xfId="10269"/>
    <cellStyle name="Comma 16 4 3 3" xfId="7459"/>
    <cellStyle name="Comma 16 4 4" xfId="3232"/>
    <cellStyle name="Comma 16 4 4 2" xfId="8868"/>
    <cellStyle name="Comma 16 4 5" xfId="6058"/>
    <cellStyle name="Comma 16 5" xfId="774"/>
    <cellStyle name="Comma 16 5 2" xfId="2175"/>
    <cellStyle name="Comma 16 5 2 2" xfId="4985"/>
    <cellStyle name="Comma 16 5 2 2 2" xfId="10621"/>
    <cellStyle name="Comma 16 5 2 3" xfId="7811"/>
    <cellStyle name="Comma 16 5 3" xfId="3584"/>
    <cellStyle name="Comma 16 5 3 2" xfId="9220"/>
    <cellStyle name="Comma 16 5 4" xfId="6410"/>
    <cellStyle name="Comma 16 6" xfId="1479"/>
    <cellStyle name="Comma 16 6 2" xfId="4289"/>
    <cellStyle name="Comma 16 6 2 2" xfId="9925"/>
    <cellStyle name="Comma 16 6 3" xfId="7115"/>
    <cellStyle name="Comma 16 7" xfId="2888"/>
    <cellStyle name="Comma 16 7 2" xfId="8524"/>
    <cellStyle name="Comma 16 8" xfId="5714"/>
    <cellStyle name="Comma 17" xfId="80"/>
    <cellStyle name="Comma 17 2" xfId="160"/>
    <cellStyle name="Comma 17 2 2" xfId="332"/>
    <cellStyle name="Comma 17 2 2 2" xfId="676"/>
    <cellStyle name="Comma 17 2 2 2 2" xfId="1372"/>
    <cellStyle name="Comma 17 2 2 2 2 2" xfId="2773"/>
    <cellStyle name="Comma 17 2 2 2 2 2 2" xfId="5583"/>
    <cellStyle name="Comma 17 2 2 2 2 2 2 2" xfId="11219"/>
    <cellStyle name="Comma 17 2 2 2 2 2 3" xfId="8409"/>
    <cellStyle name="Comma 17 2 2 2 2 3" xfId="4182"/>
    <cellStyle name="Comma 17 2 2 2 2 3 2" xfId="9818"/>
    <cellStyle name="Comma 17 2 2 2 2 4" xfId="7008"/>
    <cellStyle name="Comma 17 2 2 2 3" xfId="2077"/>
    <cellStyle name="Comma 17 2 2 2 3 2" xfId="4887"/>
    <cellStyle name="Comma 17 2 2 2 3 2 2" xfId="10523"/>
    <cellStyle name="Comma 17 2 2 2 3 3" xfId="7713"/>
    <cellStyle name="Comma 17 2 2 2 4" xfId="3486"/>
    <cellStyle name="Comma 17 2 2 2 4 2" xfId="9122"/>
    <cellStyle name="Comma 17 2 2 2 5" xfId="6312"/>
    <cellStyle name="Comma 17 2 2 3" xfId="1028"/>
    <cellStyle name="Comma 17 2 2 3 2" xfId="2429"/>
    <cellStyle name="Comma 17 2 2 3 2 2" xfId="5239"/>
    <cellStyle name="Comma 17 2 2 3 2 2 2" xfId="10875"/>
    <cellStyle name="Comma 17 2 2 3 2 3" xfId="8065"/>
    <cellStyle name="Comma 17 2 2 3 3" xfId="3838"/>
    <cellStyle name="Comma 17 2 2 3 3 2" xfId="9474"/>
    <cellStyle name="Comma 17 2 2 3 4" xfId="6664"/>
    <cellStyle name="Comma 17 2 2 4" xfId="1733"/>
    <cellStyle name="Comma 17 2 2 4 2" xfId="4543"/>
    <cellStyle name="Comma 17 2 2 4 2 2" xfId="10179"/>
    <cellStyle name="Comma 17 2 2 4 3" xfId="7369"/>
    <cellStyle name="Comma 17 2 2 5" xfId="3142"/>
    <cellStyle name="Comma 17 2 2 5 2" xfId="8778"/>
    <cellStyle name="Comma 17 2 2 6" xfId="5968"/>
    <cellStyle name="Comma 17 2 3" xfId="504"/>
    <cellStyle name="Comma 17 2 3 2" xfId="1200"/>
    <cellStyle name="Comma 17 2 3 2 2" xfId="2601"/>
    <cellStyle name="Comma 17 2 3 2 2 2" xfId="5411"/>
    <cellStyle name="Comma 17 2 3 2 2 2 2" xfId="11047"/>
    <cellStyle name="Comma 17 2 3 2 2 3" xfId="8237"/>
    <cellStyle name="Comma 17 2 3 2 3" xfId="4010"/>
    <cellStyle name="Comma 17 2 3 2 3 2" xfId="9646"/>
    <cellStyle name="Comma 17 2 3 2 4" xfId="6836"/>
    <cellStyle name="Comma 17 2 3 3" xfId="1905"/>
    <cellStyle name="Comma 17 2 3 3 2" xfId="4715"/>
    <cellStyle name="Comma 17 2 3 3 2 2" xfId="10351"/>
    <cellStyle name="Comma 17 2 3 3 3" xfId="7541"/>
    <cellStyle name="Comma 17 2 3 4" xfId="3314"/>
    <cellStyle name="Comma 17 2 3 4 2" xfId="8950"/>
    <cellStyle name="Comma 17 2 3 5" xfId="6140"/>
    <cellStyle name="Comma 17 2 4" xfId="856"/>
    <cellStyle name="Comma 17 2 4 2" xfId="2257"/>
    <cellStyle name="Comma 17 2 4 2 2" xfId="5067"/>
    <cellStyle name="Comma 17 2 4 2 2 2" xfId="10703"/>
    <cellStyle name="Comma 17 2 4 2 3" xfId="7893"/>
    <cellStyle name="Comma 17 2 4 3" xfId="3666"/>
    <cellStyle name="Comma 17 2 4 3 2" xfId="9302"/>
    <cellStyle name="Comma 17 2 4 4" xfId="6492"/>
    <cellStyle name="Comma 17 2 5" xfId="1561"/>
    <cellStyle name="Comma 17 2 5 2" xfId="4371"/>
    <cellStyle name="Comma 17 2 5 2 2" xfId="10007"/>
    <cellStyle name="Comma 17 2 5 3" xfId="7197"/>
    <cellStyle name="Comma 17 2 6" xfId="2970"/>
    <cellStyle name="Comma 17 2 6 2" xfId="8606"/>
    <cellStyle name="Comma 17 2 7" xfId="5796"/>
    <cellStyle name="Comma 17 3" xfId="252"/>
    <cellStyle name="Comma 17 3 2" xfId="596"/>
    <cellStyle name="Comma 17 3 2 2" xfId="1292"/>
    <cellStyle name="Comma 17 3 2 2 2" xfId="2693"/>
    <cellStyle name="Comma 17 3 2 2 2 2" xfId="5503"/>
    <cellStyle name="Comma 17 3 2 2 2 2 2" xfId="11139"/>
    <cellStyle name="Comma 17 3 2 2 2 3" xfId="8329"/>
    <cellStyle name="Comma 17 3 2 2 3" xfId="4102"/>
    <cellStyle name="Comma 17 3 2 2 3 2" xfId="9738"/>
    <cellStyle name="Comma 17 3 2 2 4" xfId="6928"/>
    <cellStyle name="Comma 17 3 2 3" xfId="1997"/>
    <cellStyle name="Comma 17 3 2 3 2" xfId="4807"/>
    <cellStyle name="Comma 17 3 2 3 2 2" xfId="10443"/>
    <cellStyle name="Comma 17 3 2 3 3" xfId="7633"/>
    <cellStyle name="Comma 17 3 2 4" xfId="3406"/>
    <cellStyle name="Comma 17 3 2 4 2" xfId="9042"/>
    <cellStyle name="Comma 17 3 2 5" xfId="6232"/>
    <cellStyle name="Comma 17 3 3" xfId="948"/>
    <cellStyle name="Comma 17 3 3 2" xfId="2349"/>
    <cellStyle name="Comma 17 3 3 2 2" xfId="5159"/>
    <cellStyle name="Comma 17 3 3 2 2 2" xfId="10795"/>
    <cellStyle name="Comma 17 3 3 2 3" xfId="7985"/>
    <cellStyle name="Comma 17 3 3 3" xfId="3758"/>
    <cellStyle name="Comma 17 3 3 3 2" xfId="9394"/>
    <cellStyle name="Comma 17 3 3 4" xfId="6584"/>
    <cellStyle name="Comma 17 3 4" xfId="1653"/>
    <cellStyle name="Comma 17 3 4 2" xfId="4463"/>
    <cellStyle name="Comma 17 3 4 2 2" xfId="10099"/>
    <cellStyle name="Comma 17 3 4 3" xfId="7289"/>
    <cellStyle name="Comma 17 3 5" xfId="3062"/>
    <cellStyle name="Comma 17 3 5 2" xfId="8698"/>
    <cellStyle name="Comma 17 3 6" xfId="5888"/>
    <cellStyle name="Comma 17 4" xfId="424"/>
    <cellStyle name="Comma 17 4 2" xfId="1120"/>
    <cellStyle name="Comma 17 4 2 2" xfId="2521"/>
    <cellStyle name="Comma 17 4 2 2 2" xfId="5331"/>
    <cellStyle name="Comma 17 4 2 2 2 2" xfId="10967"/>
    <cellStyle name="Comma 17 4 2 2 3" xfId="8157"/>
    <cellStyle name="Comma 17 4 2 3" xfId="3930"/>
    <cellStyle name="Comma 17 4 2 3 2" xfId="9566"/>
    <cellStyle name="Comma 17 4 2 4" xfId="6756"/>
    <cellStyle name="Comma 17 4 3" xfId="1825"/>
    <cellStyle name="Comma 17 4 3 2" xfId="4635"/>
    <cellStyle name="Comma 17 4 3 2 2" xfId="10271"/>
    <cellStyle name="Comma 17 4 3 3" xfId="7461"/>
    <cellStyle name="Comma 17 4 4" xfId="3234"/>
    <cellStyle name="Comma 17 4 4 2" xfId="8870"/>
    <cellStyle name="Comma 17 4 5" xfId="6060"/>
    <cellStyle name="Comma 17 5" xfId="776"/>
    <cellStyle name="Comma 17 5 2" xfId="2177"/>
    <cellStyle name="Comma 17 5 2 2" xfId="4987"/>
    <cellStyle name="Comma 17 5 2 2 2" xfId="10623"/>
    <cellStyle name="Comma 17 5 2 3" xfId="7813"/>
    <cellStyle name="Comma 17 5 3" xfId="3586"/>
    <cellStyle name="Comma 17 5 3 2" xfId="9222"/>
    <cellStyle name="Comma 17 5 4" xfId="6412"/>
    <cellStyle name="Comma 17 6" xfId="1481"/>
    <cellStyle name="Comma 17 6 2" xfId="4291"/>
    <cellStyle name="Comma 17 6 2 2" xfId="9927"/>
    <cellStyle name="Comma 17 6 3" xfId="7117"/>
    <cellStyle name="Comma 17 7" xfId="2890"/>
    <cellStyle name="Comma 17 7 2" xfId="8526"/>
    <cellStyle name="Comma 17 8" xfId="5716"/>
    <cellStyle name="Comma 18" xfId="82"/>
    <cellStyle name="Comma 18 2" xfId="254"/>
    <cellStyle name="Comma 18 2 2" xfId="598"/>
    <cellStyle name="Comma 18 2 2 2" xfId="1294"/>
    <cellStyle name="Comma 18 2 2 2 2" xfId="2695"/>
    <cellStyle name="Comma 18 2 2 2 2 2" xfId="5505"/>
    <cellStyle name="Comma 18 2 2 2 2 2 2" xfId="11141"/>
    <cellStyle name="Comma 18 2 2 2 2 3" xfId="8331"/>
    <cellStyle name="Comma 18 2 2 2 3" xfId="4104"/>
    <cellStyle name="Comma 18 2 2 2 3 2" xfId="9740"/>
    <cellStyle name="Comma 18 2 2 2 4" xfId="6930"/>
    <cellStyle name="Comma 18 2 2 3" xfId="1999"/>
    <cellStyle name="Comma 18 2 2 3 2" xfId="4809"/>
    <cellStyle name="Comma 18 2 2 3 2 2" xfId="10445"/>
    <cellStyle name="Comma 18 2 2 3 3" xfId="7635"/>
    <cellStyle name="Comma 18 2 2 4" xfId="3408"/>
    <cellStyle name="Comma 18 2 2 4 2" xfId="9044"/>
    <cellStyle name="Comma 18 2 2 5" xfId="6234"/>
    <cellStyle name="Comma 18 2 3" xfId="950"/>
    <cellStyle name="Comma 18 2 3 2" xfId="2351"/>
    <cellStyle name="Comma 18 2 3 2 2" xfId="5161"/>
    <cellStyle name="Comma 18 2 3 2 2 2" xfId="10797"/>
    <cellStyle name="Comma 18 2 3 2 3" xfId="7987"/>
    <cellStyle name="Comma 18 2 3 3" xfId="3760"/>
    <cellStyle name="Comma 18 2 3 3 2" xfId="9396"/>
    <cellStyle name="Comma 18 2 3 4" xfId="6586"/>
    <cellStyle name="Comma 18 2 4" xfId="1655"/>
    <cellStyle name="Comma 18 2 4 2" xfId="4465"/>
    <cellStyle name="Comma 18 2 4 2 2" xfId="10101"/>
    <cellStyle name="Comma 18 2 4 3" xfId="7291"/>
    <cellStyle name="Comma 18 2 5" xfId="3064"/>
    <cellStyle name="Comma 18 2 5 2" xfId="8700"/>
    <cellStyle name="Comma 18 2 6" xfId="5890"/>
    <cellStyle name="Comma 18 3" xfId="426"/>
    <cellStyle name="Comma 18 3 2" xfId="1122"/>
    <cellStyle name="Comma 18 3 2 2" xfId="2523"/>
    <cellStyle name="Comma 18 3 2 2 2" xfId="5333"/>
    <cellStyle name="Comma 18 3 2 2 2 2" xfId="10969"/>
    <cellStyle name="Comma 18 3 2 2 3" xfId="8159"/>
    <cellStyle name="Comma 18 3 2 3" xfId="3932"/>
    <cellStyle name="Comma 18 3 2 3 2" xfId="9568"/>
    <cellStyle name="Comma 18 3 2 4" xfId="6758"/>
    <cellStyle name="Comma 18 3 3" xfId="1827"/>
    <cellStyle name="Comma 18 3 3 2" xfId="4637"/>
    <cellStyle name="Comma 18 3 3 2 2" xfId="10273"/>
    <cellStyle name="Comma 18 3 3 3" xfId="7463"/>
    <cellStyle name="Comma 18 3 4" xfId="3236"/>
    <cellStyle name="Comma 18 3 4 2" xfId="8872"/>
    <cellStyle name="Comma 18 3 5" xfId="6062"/>
    <cellStyle name="Comma 18 4" xfId="778"/>
    <cellStyle name="Comma 18 4 2" xfId="2179"/>
    <cellStyle name="Comma 18 4 2 2" xfId="4989"/>
    <cellStyle name="Comma 18 4 2 2 2" xfId="10625"/>
    <cellStyle name="Comma 18 4 2 3" xfId="7815"/>
    <cellStyle name="Comma 18 4 3" xfId="3588"/>
    <cellStyle name="Comma 18 4 3 2" xfId="9224"/>
    <cellStyle name="Comma 18 4 4" xfId="6414"/>
    <cellStyle name="Comma 18 5" xfId="1483"/>
    <cellStyle name="Comma 18 5 2" xfId="4293"/>
    <cellStyle name="Comma 18 5 2 2" xfId="9929"/>
    <cellStyle name="Comma 18 5 3" xfId="7119"/>
    <cellStyle name="Comma 18 6" xfId="2892"/>
    <cellStyle name="Comma 18 6 2" xfId="8528"/>
    <cellStyle name="Comma 18 7" xfId="5718"/>
    <cellStyle name="Comma 19" xfId="163"/>
    <cellStyle name="Comma 19 2" xfId="335"/>
    <cellStyle name="Comma 19 2 2" xfId="679"/>
    <cellStyle name="Comma 19 2 2 2" xfId="1375"/>
    <cellStyle name="Comma 19 2 2 2 2" xfId="2776"/>
    <cellStyle name="Comma 19 2 2 2 2 2" xfId="5586"/>
    <cellStyle name="Comma 19 2 2 2 2 2 2" xfId="11222"/>
    <cellStyle name="Comma 19 2 2 2 2 3" xfId="8412"/>
    <cellStyle name="Comma 19 2 2 2 3" xfId="4185"/>
    <cellStyle name="Comma 19 2 2 2 3 2" xfId="9821"/>
    <cellStyle name="Comma 19 2 2 2 4" xfId="7011"/>
    <cellStyle name="Comma 19 2 2 3" xfId="2080"/>
    <cellStyle name="Comma 19 2 2 3 2" xfId="4890"/>
    <cellStyle name="Comma 19 2 2 3 2 2" xfId="10526"/>
    <cellStyle name="Comma 19 2 2 3 3" xfId="7716"/>
    <cellStyle name="Comma 19 2 2 4" xfId="3489"/>
    <cellStyle name="Comma 19 2 2 4 2" xfId="9125"/>
    <cellStyle name="Comma 19 2 2 5" xfId="6315"/>
    <cellStyle name="Comma 19 2 3" xfId="1031"/>
    <cellStyle name="Comma 19 2 3 2" xfId="2432"/>
    <cellStyle name="Comma 19 2 3 2 2" xfId="5242"/>
    <cellStyle name="Comma 19 2 3 2 2 2" xfId="10878"/>
    <cellStyle name="Comma 19 2 3 2 3" xfId="8068"/>
    <cellStyle name="Comma 19 2 3 3" xfId="3841"/>
    <cellStyle name="Comma 19 2 3 3 2" xfId="9477"/>
    <cellStyle name="Comma 19 2 3 4" xfId="6667"/>
    <cellStyle name="Comma 19 2 4" xfId="1736"/>
    <cellStyle name="Comma 19 2 4 2" xfId="4546"/>
    <cellStyle name="Comma 19 2 4 2 2" xfId="10182"/>
    <cellStyle name="Comma 19 2 4 3" xfId="7372"/>
    <cellStyle name="Comma 19 2 5" xfId="3145"/>
    <cellStyle name="Comma 19 2 5 2" xfId="8781"/>
    <cellStyle name="Comma 19 2 6" xfId="5971"/>
    <cellStyle name="Comma 19 3" xfId="507"/>
    <cellStyle name="Comma 19 3 2" xfId="1203"/>
    <cellStyle name="Comma 19 3 2 2" xfId="2604"/>
    <cellStyle name="Comma 19 3 2 2 2" xfId="5414"/>
    <cellStyle name="Comma 19 3 2 2 2 2" xfId="11050"/>
    <cellStyle name="Comma 19 3 2 2 3" xfId="8240"/>
    <cellStyle name="Comma 19 3 2 3" xfId="4013"/>
    <cellStyle name="Comma 19 3 2 3 2" xfId="9649"/>
    <cellStyle name="Comma 19 3 2 4" xfId="6839"/>
    <cellStyle name="Comma 19 3 3" xfId="1908"/>
    <cellStyle name="Comma 19 3 3 2" xfId="4718"/>
    <cellStyle name="Comma 19 3 3 2 2" xfId="10354"/>
    <cellStyle name="Comma 19 3 3 3" xfId="7544"/>
    <cellStyle name="Comma 19 3 4" xfId="3317"/>
    <cellStyle name="Comma 19 3 4 2" xfId="8953"/>
    <cellStyle name="Comma 19 3 5" xfId="6143"/>
    <cellStyle name="Comma 19 4" xfId="859"/>
    <cellStyle name="Comma 19 4 2" xfId="2260"/>
    <cellStyle name="Comma 19 4 2 2" xfId="5070"/>
    <cellStyle name="Comma 19 4 2 2 2" xfId="10706"/>
    <cellStyle name="Comma 19 4 2 3" xfId="7896"/>
    <cellStyle name="Comma 19 4 3" xfId="3669"/>
    <cellStyle name="Comma 19 4 3 2" xfId="9305"/>
    <cellStyle name="Comma 19 4 4" xfId="6495"/>
    <cellStyle name="Comma 19 5" xfId="1564"/>
    <cellStyle name="Comma 19 5 2" xfId="4374"/>
    <cellStyle name="Comma 19 5 2 2" xfId="10010"/>
    <cellStyle name="Comma 19 5 3" xfId="7200"/>
    <cellStyle name="Comma 19 6" xfId="2973"/>
    <cellStyle name="Comma 19 6 2" xfId="8609"/>
    <cellStyle name="Comma 19 7" xfId="5799"/>
    <cellStyle name="Comma 2" xfId="5"/>
    <cellStyle name="Comma 2 10" xfId="5641"/>
    <cellStyle name="Comma 2 2" xfId="17"/>
    <cellStyle name="Comma 2 2 2" xfId="49"/>
    <cellStyle name="Comma 2 2 2 2" xfId="129"/>
    <cellStyle name="Comma 2 2 2 2 2" xfId="301"/>
    <cellStyle name="Comma 2 2 2 2 2 2" xfId="645"/>
    <cellStyle name="Comma 2 2 2 2 2 2 2" xfId="1341"/>
    <cellStyle name="Comma 2 2 2 2 2 2 2 2" xfId="2742"/>
    <cellStyle name="Comma 2 2 2 2 2 2 2 2 2" xfId="5552"/>
    <cellStyle name="Comma 2 2 2 2 2 2 2 2 2 2" xfId="11188"/>
    <cellStyle name="Comma 2 2 2 2 2 2 2 2 3" xfId="8378"/>
    <cellStyle name="Comma 2 2 2 2 2 2 2 3" xfId="4151"/>
    <cellStyle name="Comma 2 2 2 2 2 2 2 3 2" xfId="9787"/>
    <cellStyle name="Comma 2 2 2 2 2 2 2 4" xfId="6977"/>
    <cellStyle name="Comma 2 2 2 2 2 2 3" xfId="2046"/>
    <cellStyle name="Comma 2 2 2 2 2 2 3 2" xfId="4856"/>
    <cellStyle name="Comma 2 2 2 2 2 2 3 2 2" xfId="10492"/>
    <cellStyle name="Comma 2 2 2 2 2 2 3 3" xfId="7682"/>
    <cellStyle name="Comma 2 2 2 2 2 2 4" xfId="3455"/>
    <cellStyle name="Comma 2 2 2 2 2 2 4 2" xfId="9091"/>
    <cellStyle name="Comma 2 2 2 2 2 2 5" xfId="6281"/>
    <cellStyle name="Comma 2 2 2 2 2 3" xfId="997"/>
    <cellStyle name="Comma 2 2 2 2 2 3 2" xfId="2398"/>
    <cellStyle name="Comma 2 2 2 2 2 3 2 2" xfId="5208"/>
    <cellStyle name="Comma 2 2 2 2 2 3 2 2 2" xfId="10844"/>
    <cellStyle name="Comma 2 2 2 2 2 3 2 3" xfId="8034"/>
    <cellStyle name="Comma 2 2 2 2 2 3 3" xfId="3807"/>
    <cellStyle name="Comma 2 2 2 2 2 3 3 2" xfId="9443"/>
    <cellStyle name="Comma 2 2 2 2 2 3 4" xfId="6633"/>
    <cellStyle name="Comma 2 2 2 2 2 4" xfId="1702"/>
    <cellStyle name="Comma 2 2 2 2 2 4 2" xfId="4512"/>
    <cellStyle name="Comma 2 2 2 2 2 4 2 2" xfId="10148"/>
    <cellStyle name="Comma 2 2 2 2 2 4 3" xfId="7338"/>
    <cellStyle name="Comma 2 2 2 2 2 5" xfId="3111"/>
    <cellStyle name="Comma 2 2 2 2 2 5 2" xfId="8747"/>
    <cellStyle name="Comma 2 2 2 2 2 6" xfId="5937"/>
    <cellStyle name="Comma 2 2 2 2 3" xfId="473"/>
    <cellStyle name="Comma 2 2 2 2 3 2" xfId="1169"/>
    <cellStyle name="Comma 2 2 2 2 3 2 2" xfId="2570"/>
    <cellStyle name="Comma 2 2 2 2 3 2 2 2" xfId="5380"/>
    <cellStyle name="Comma 2 2 2 2 3 2 2 2 2" xfId="11016"/>
    <cellStyle name="Comma 2 2 2 2 3 2 2 3" xfId="8206"/>
    <cellStyle name="Comma 2 2 2 2 3 2 3" xfId="3979"/>
    <cellStyle name="Comma 2 2 2 2 3 2 3 2" xfId="9615"/>
    <cellStyle name="Comma 2 2 2 2 3 2 4" xfId="6805"/>
    <cellStyle name="Comma 2 2 2 2 3 3" xfId="1874"/>
    <cellStyle name="Comma 2 2 2 2 3 3 2" xfId="4684"/>
    <cellStyle name="Comma 2 2 2 2 3 3 2 2" xfId="10320"/>
    <cellStyle name="Comma 2 2 2 2 3 3 3" xfId="7510"/>
    <cellStyle name="Comma 2 2 2 2 3 4" xfId="3283"/>
    <cellStyle name="Comma 2 2 2 2 3 4 2" xfId="8919"/>
    <cellStyle name="Comma 2 2 2 2 3 5" xfId="6109"/>
    <cellStyle name="Comma 2 2 2 2 4" xfId="825"/>
    <cellStyle name="Comma 2 2 2 2 4 2" xfId="2226"/>
    <cellStyle name="Comma 2 2 2 2 4 2 2" xfId="5036"/>
    <cellStyle name="Comma 2 2 2 2 4 2 2 2" xfId="10672"/>
    <cellStyle name="Comma 2 2 2 2 4 2 3" xfId="7862"/>
    <cellStyle name="Comma 2 2 2 2 4 3" xfId="3635"/>
    <cellStyle name="Comma 2 2 2 2 4 3 2" xfId="9271"/>
    <cellStyle name="Comma 2 2 2 2 4 4" xfId="6461"/>
    <cellStyle name="Comma 2 2 2 2 5" xfId="1530"/>
    <cellStyle name="Comma 2 2 2 2 5 2" xfId="4340"/>
    <cellStyle name="Comma 2 2 2 2 5 2 2" xfId="9976"/>
    <cellStyle name="Comma 2 2 2 2 5 3" xfId="7166"/>
    <cellStyle name="Comma 2 2 2 2 6" xfId="2939"/>
    <cellStyle name="Comma 2 2 2 2 6 2" xfId="8575"/>
    <cellStyle name="Comma 2 2 2 2 7" xfId="5765"/>
    <cellStyle name="Comma 2 2 2 3" xfId="221"/>
    <cellStyle name="Comma 2 2 2 3 2" xfId="565"/>
    <cellStyle name="Comma 2 2 2 3 2 2" xfId="1261"/>
    <cellStyle name="Comma 2 2 2 3 2 2 2" xfId="2662"/>
    <cellStyle name="Comma 2 2 2 3 2 2 2 2" xfId="5472"/>
    <cellStyle name="Comma 2 2 2 3 2 2 2 2 2" xfId="11108"/>
    <cellStyle name="Comma 2 2 2 3 2 2 2 3" xfId="8298"/>
    <cellStyle name="Comma 2 2 2 3 2 2 3" xfId="4071"/>
    <cellStyle name="Comma 2 2 2 3 2 2 3 2" xfId="9707"/>
    <cellStyle name="Comma 2 2 2 3 2 2 4" xfId="6897"/>
    <cellStyle name="Comma 2 2 2 3 2 3" xfId="1966"/>
    <cellStyle name="Comma 2 2 2 3 2 3 2" xfId="4776"/>
    <cellStyle name="Comma 2 2 2 3 2 3 2 2" xfId="10412"/>
    <cellStyle name="Comma 2 2 2 3 2 3 3" xfId="7602"/>
    <cellStyle name="Comma 2 2 2 3 2 4" xfId="3375"/>
    <cellStyle name="Comma 2 2 2 3 2 4 2" xfId="9011"/>
    <cellStyle name="Comma 2 2 2 3 2 5" xfId="6201"/>
    <cellStyle name="Comma 2 2 2 3 3" xfId="917"/>
    <cellStyle name="Comma 2 2 2 3 3 2" xfId="2318"/>
    <cellStyle name="Comma 2 2 2 3 3 2 2" xfId="5128"/>
    <cellStyle name="Comma 2 2 2 3 3 2 2 2" xfId="10764"/>
    <cellStyle name="Comma 2 2 2 3 3 2 3" xfId="7954"/>
    <cellStyle name="Comma 2 2 2 3 3 3" xfId="3727"/>
    <cellStyle name="Comma 2 2 2 3 3 3 2" xfId="9363"/>
    <cellStyle name="Comma 2 2 2 3 3 4" xfId="6553"/>
    <cellStyle name="Comma 2 2 2 3 4" xfId="1622"/>
    <cellStyle name="Comma 2 2 2 3 4 2" xfId="4432"/>
    <cellStyle name="Comma 2 2 2 3 4 2 2" xfId="10068"/>
    <cellStyle name="Comma 2 2 2 3 4 3" xfId="7258"/>
    <cellStyle name="Comma 2 2 2 3 5" xfId="3031"/>
    <cellStyle name="Comma 2 2 2 3 5 2" xfId="8667"/>
    <cellStyle name="Comma 2 2 2 3 6" xfId="5857"/>
    <cellStyle name="Comma 2 2 2 4" xfId="393"/>
    <cellStyle name="Comma 2 2 2 4 2" xfId="1089"/>
    <cellStyle name="Comma 2 2 2 4 2 2" xfId="2490"/>
    <cellStyle name="Comma 2 2 2 4 2 2 2" xfId="5300"/>
    <cellStyle name="Comma 2 2 2 4 2 2 2 2" xfId="10936"/>
    <cellStyle name="Comma 2 2 2 4 2 2 3" xfId="8126"/>
    <cellStyle name="Comma 2 2 2 4 2 3" xfId="3899"/>
    <cellStyle name="Comma 2 2 2 4 2 3 2" xfId="9535"/>
    <cellStyle name="Comma 2 2 2 4 2 4" xfId="6725"/>
    <cellStyle name="Comma 2 2 2 4 3" xfId="1794"/>
    <cellStyle name="Comma 2 2 2 4 3 2" xfId="4604"/>
    <cellStyle name="Comma 2 2 2 4 3 2 2" xfId="10240"/>
    <cellStyle name="Comma 2 2 2 4 3 3" xfId="7430"/>
    <cellStyle name="Comma 2 2 2 4 4" xfId="3203"/>
    <cellStyle name="Comma 2 2 2 4 4 2" xfId="8839"/>
    <cellStyle name="Comma 2 2 2 4 5" xfId="6029"/>
    <cellStyle name="Comma 2 2 2 5" xfId="745"/>
    <cellStyle name="Comma 2 2 2 5 2" xfId="2146"/>
    <cellStyle name="Comma 2 2 2 5 2 2" xfId="4956"/>
    <cellStyle name="Comma 2 2 2 5 2 2 2" xfId="10592"/>
    <cellStyle name="Comma 2 2 2 5 2 3" xfId="7782"/>
    <cellStyle name="Comma 2 2 2 5 3" xfId="3555"/>
    <cellStyle name="Comma 2 2 2 5 3 2" xfId="9191"/>
    <cellStyle name="Comma 2 2 2 5 4" xfId="6381"/>
    <cellStyle name="Comma 2 2 2 6" xfId="1450"/>
    <cellStyle name="Comma 2 2 2 6 2" xfId="4260"/>
    <cellStyle name="Comma 2 2 2 6 2 2" xfId="9896"/>
    <cellStyle name="Comma 2 2 2 6 3" xfId="7086"/>
    <cellStyle name="Comma 2 2 2 7" xfId="2859"/>
    <cellStyle name="Comma 2 2 2 7 2" xfId="8495"/>
    <cellStyle name="Comma 2 2 2 8" xfId="5685"/>
    <cellStyle name="Comma 2 2 3" xfId="97"/>
    <cellStyle name="Comma 2 2 3 2" xfId="269"/>
    <cellStyle name="Comma 2 2 3 2 2" xfId="613"/>
    <cellStyle name="Comma 2 2 3 2 2 2" xfId="1309"/>
    <cellStyle name="Comma 2 2 3 2 2 2 2" xfId="2710"/>
    <cellStyle name="Comma 2 2 3 2 2 2 2 2" xfId="5520"/>
    <cellStyle name="Comma 2 2 3 2 2 2 2 2 2" xfId="11156"/>
    <cellStyle name="Comma 2 2 3 2 2 2 2 3" xfId="8346"/>
    <cellStyle name="Comma 2 2 3 2 2 2 3" xfId="4119"/>
    <cellStyle name="Comma 2 2 3 2 2 2 3 2" xfId="9755"/>
    <cellStyle name="Comma 2 2 3 2 2 2 4" xfId="6945"/>
    <cellStyle name="Comma 2 2 3 2 2 3" xfId="2014"/>
    <cellStyle name="Comma 2 2 3 2 2 3 2" xfId="4824"/>
    <cellStyle name="Comma 2 2 3 2 2 3 2 2" xfId="10460"/>
    <cellStyle name="Comma 2 2 3 2 2 3 3" xfId="7650"/>
    <cellStyle name="Comma 2 2 3 2 2 4" xfId="3423"/>
    <cellStyle name="Comma 2 2 3 2 2 4 2" xfId="9059"/>
    <cellStyle name="Comma 2 2 3 2 2 5" xfId="6249"/>
    <cellStyle name="Comma 2 2 3 2 3" xfId="965"/>
    <cellStyle name="Comma 2 2 3 2 3 2" xfId="2366"/>
    <cellStyle name="Comma 2 2 3 2 3 2 2" xfId="5176"/>
    <cellStyle name="Comma 2 2 3 2 3 2 2 2" xfId="10812"/>
    <cellStyle name="Comma 2 2 3 2 3 2 3" xfId="8002"/>
    <cellStyle name="Comma 2 2 3 2 3 3" xfId="3775"/>
    <cellStyle name="Comma 2 2 3 2 3 3 2" xfId="9411"/>
    <cellStyle name="Comma 2 2 3 2 3 4" xfId="6601"/>
    <cellStyle name="Comma 2 2 3 2 4" xfId="1670"/>
    <cellStyle name="Comma 2 2 3 2 4 2" xfId="4480"/>
    <cellStyle name="Comma 2 2 3 2 4 2 2" xfId="10116"/>
    <cellStyle name="Comma 2 2 3 2 4 3" xfId="7306"/>
    <cellStyle name="Comma 2 2 3 2 5" xfId="3079"/>
    <cellStyle name="Comma 2 2 3 2 5 2" xfId="8715"/>
    <cellStyle name="Comma 2 2 3 2 6" xfId="5905"/>
    <cellStyle name="Comma 2 2 3 3" xfId="441"/>
    <cellStyle name="Comma 2 2 3 3 2" xfId="1137"/>
    <cellStyle name="Comma 2 2 3 3 2 2" xfId="2538"/>
    <cellStyle name="Comma 2 2 3 3 2 2 2" xfId="5348"/>
    <cellStyle name="Comma 2 2 3 3 2 2 2 2" xfId="10984"/>
    <cellStyle name="Comma 2 2 3 3 2 2 3" xfId="8174"/>
    <cellStyle name="Comma 2 2 3 3 2 3" xfId="3947"/>
    <cellStyle name="Comma 2 2 3 3 2 3 2" xfId="9583"/>
    <cellStyle name="Comma 2 2 3 3 2 4" xfId="6773"/>
    <cellStyle name="Comma 2 2 3 3 3" xfId="1842"/>
    <cellStyle name="Comma 2 2 3 3 3 2" xfId="4652"/>
    <cellStyle name="Comma 2 2 3 3 3 2 2" xfId="10288"/>
    <cellStyle name="Comma 2 2 3 3 3 3" xfId="7478"/>
    <cellStyle name="Comma 2 2 3 3 4" xfId="3251"/>
    <cellStyle name="Comma 2 2 3 3 4 2" xfId="8887"/>
    <cellStyle name="Comma 2 2 3 3 5" xfId="6077"/>
    <cellStyle name="Comma 2 2 3 4" xfId="793"/>
    <cellStyle name="Comma 2 2 3 4 2" xfId="2194"/>
    <cellStyle name="Comma 2 2 3 4 2 2" xfId="5004"/>
    <cellStyle name="Comma 2 2 3 4 2 2 2" xfId="10640"/>
    <cellStyle name="Comma 2 2 3 4 2 3" xfId="7830"/>
    <cellStyle name="Comma 2 2 3 4 3" xfId="3603"/>
    <cellStyle name="Comma 2 2 3 4 3 2" xfId="9239"/>
    <cellStyle name="Comma 2 2 3 4 4" xfId="6429"/>
    <cellStyle name="Comma 2 2 3 5" xfId="1498"/>
    <cellStyle name="Comma 2 2 3 5 2" xfId="4308"/>
    <cellStyle name="Comma 2 2 3 5 2 2" xfId="9944"/>
    <cellStyle name="Comma 2 2 3 5 3" xfId="7134"/>
    <cellStyle name="Comma 2 2 3 6" xfId="2907"/>
    <cellStyle name="Comma 2 2 3 6 2" xfId="8543"/>
    <cellStyle name="Comma 2 2 3 7" xfId="5733"/>
    <cellStyle name="Comma 2 2 4" xfId="189"/>
    <cellStyle name="Comma 2 2 4 2" xfId="533"/>
    <cellStyle name="Comma 2 2 4 2 2" xfId="1229"/>
    <cellStyle name="Comma 2 2 4 2 2 2" xfId="2630"/>
    <cellStyle name="Comma 2 2 4 2 2 2 2" xfId="5440"/>
    <cellStyle name="Comma 2 2 4 2 2 2 2 2" xfId="11076"/>
    <cellStyle name="Comma 2 2 4 2 2 2 3" xfId="8266"/>
    <cellStyle name="Comma 2 2 4 2 2 3" xfId="4039"/>
    <cellStyle name="Comma 2 2 4 2 2 3 2" xfId="9675"/>
    <cellStyle name="Comma 2 2 4 2 2 4" xfId="6865"/>
    <cellStyle name="Comma 2 2 4 2 3" xfId="1934"/>
    <cellStyle name="Comma 2 2 4 2 3 2" xfId="4744"/>
    <cellStyle name="Comma 2 2 4 2 3 2 2" xfId="10380"/>
    <cellStyle name="Comma 2 2 4 2 3 3" xfId="7570"/>
    <cellStyle name="Comma 2 2 4 2 4" xfId="3343"/>
    <cellStyle name="Comma 2 2 4 2 4 2" xfId="8979"/>
    <cellStyle name="Comma 2 2 4 2 5" xfId="6169"/>
    <cellStyle name="Comma 2 2 4 3" xfId="885"/>
    <cellStyle name="Comma 2 2 4 3 2" xfId="2286"/>
    <cellStyle name="Comma 2 2 4 3 2 2" xfId="5096"/>
    <cellStyle name="Comma 2 2 4 3 2 2 2" xfId="10732"/>
    <cellStyle name="Comma 2 2 4 3 2 3" xfId="7922"/>
    <cellStyle name="Comma 2 2 4 3 3" xfId="3695"/>
    <cellStyle name="Comma 2 2 4 3 3 2" xfId="9331"/>
    <cellStyle name="Comma 2 2 4 3 4" xfId="6521"/>
    <cellStyle name="Comma 2 2 4 4" xfId="1590"/>
    <cellStyle name="Comma 2 2 4 4 2" xfId="4400"/>
    <cellStyle name="Comma 2 2 4 4 2 2" xfId="10036"/>
    <cellStyle name="Comma 2 2 4 4 3" xfId="7226"/>
    <cellStyle name="Comma 2 2 4 5" xfId="2999"/>
    <cellStyle name="Comma 2 2 4 5 2" xfId="8635"/>
    <cellStyle name="Comma 2 2 4 6" xfId="5825"/>
    <cellStyle name="Comma 2 2 5" xfId="361"/>
    <cellStyle name="Comma 2 2 5 2" xfId="1057"/>
    <cellStyle name="Comma 2 2 5 2 2" xfId="2458"/>
    <cellStyle name="Comma 2 2 5 2 2 2" xfId="5268"/>
    <cellStyle name="Comma 2 2 5 2 2 2 2" xfId="10904"/>
    <cellStyle name="Comma 2 2 5 2 2 3" xfId="8094"/>
    <cellStyle name="Comma 2 2 5 2 3" xfId="3867"/>
    <cellStyle name="Comma 2 2 5 2 3 2" xfId="9503"/>
    <cellStyle name="Comma 2 2 5 2 4" xfId="6693"/>
    <cellStyle name="Comma 2 2 5 3" xfId="1762"/>
    <cellStyle name="Comma 2 2 5 3 2" xfId="4572"/>
    <cellStyle name="Comma 2 2 5 3 2 2" xfId="10208"/>
    <cellStyle name="Comma 2 2 5 3 3" xfId="7398"/>
    <cellStyle name="Comma 2 2 5 4" xfId="3171"/>
    <cellStyle name="Comma 2 2 5 4 2" xfId="8807"/>
    <cellStyle name="Comma 2 2 5 5" xfId="5997"/>
    <cellStyle name="Comma 2 2 6" xfId="713"/>
    <cellStyle name="Comma 2 2 6 2" xfId="2114"/>
    <cellStyle name="Comma 2 2 6 2 2" xfId="4924"/>
    <cellStyle name="Comma 2 2 6 2 2 2" xfId="10560"/>
    <cellStyle name="Comma 2 2 6 2 3" xfId="7750"/>
    <cellStyle name="Comma 2 2 6 3" xfId="3523"/>
    <cellStyle name="Comma 2 2 6 3 2" xfId="9159"/>
    <cellStyle name="Comma 2 2 6 4" xfId="6349"/>
    <cellStyle name="Comma 2 2 7" xfId="1418"/>
    <cellStyle name="Comma 2 2 7 2" xfId="4228"/>
    <cellStyle name="Comma 2 2 7 2 2" xfId="9864"/>
    <cellStyle name="Comma 2 2 7 3" xfId="7054"/>
    <cellStyle name="Comma 2 2 8" xfId="2827"/>
    <cellStyle name="Comma 2 2 8 2" xfId="8463"/>
    <cellStyle name="Comma 2 2 9" xfId="5653"/>
    <cellStyle name="Comma 2 3" xfId="37"/>
    <cellStyle name="Comma 2 3 2" xfId="117"/>
    <cellStyle name="Comma 2 3 2 2" xfId="289"/>
    <cellStyle name="Comma 2 3 2 2 2" xfId="633"/>
    <cellStyle name="Comma 2 3 2 2 2 2" xfId="1329"/>
    <cellStyle name="Comma 2 3 2 2 2 2 2" xfId="2730"/>
    <cellStyle name="Comma 2 3 2 2 2 2 2 2" xfId="5540"/>
    <cellStyle name="Comma 2 3 2 2 2 2 2 2 2" xfId="11176"/>
    <cellStyle name="Comma 2 3 2 2 2 2 2 3" xfId="8366"/>
    <cellStyle name="Comma 2 3 2 2 2 2 3" xfId="4139"/>
    <cellStyle name="Comma 2 3 2 2 2 2 3 2" xfId="9775"/>
    <cellStyle name="Comma 2 3 2 2 2 2 4" xfId="6965"/>
    <cellStyle name="Comma 2 3 2 2 2 3" xfId="2034"/>
    <cellStyle name="Comma 2 3 2 2 2 3 2" xfId="4844"/>
    <cellStyle name="Comma 2 3 2 2 2 3 2 2" xfId="10480"/>
    <cellStyle name="Comma 2 3 2 2 2 3 3" xfId="7670"/>
    <cellStyle name="Comma 2 3 2 2 2 4" xfId="3443"/>
    <cellStyle name="Comma 2 3 2 2 2 4 2" xfId="9079"/>
    <cellStyle name="Comma 2 3 2 2 2 5" xfId="6269"/>
    <cellStyle name="Comma 2 3 2 2 3" xfId="985"/>
    <cellStyle name="Comma 2 3 2 2 3 2" xfId="2386"/>
    <cellStyle name="Comma 2 3 2 2 3 2 2" xfId="5196"/>
    <cellStyle name="Comma 2 3 2 2 3 2 2 2" xfId="10832"/>
    <cellStyle name="Comma 2 3 2 2 3 2 3" xfId="8022"/>
    <cellStyle name="Comma 2 3 2 2 3 3" xfId="3795"/>
    <cellStyle name="Comma 2 3 2 2 3 3 2" xfId="9431"/>
    <cellStyle name="Comma 2 3 2 2 3 4" xfId="6621"/>
    <cellStyle name="Comma 2 3 2 2 4" xfId="1690"/>
    <cellStyle name="Comma 2 3 2 2 4 2" xfId="4500"/>
    <cellStyle name="Comma 2 3 2 2 4 2 2" xfId="10136"/>
    <cellStyle name="Comma 2 3 2 2 4 3" xfId="7326"/>
    <cellStyle name="Comma 2 3 2 2 5" xfId="3099"/>
    <cellStyle name="Comma 2 3 2 2 5 2" xfId="8735"/>
    <cellStyle name="Comma 2 3 2 2 6" xfId="5925"/>
    <cellStyle name="Comma 2 3 2 3" xfId="461"/>
    <cellStyle name="Comma 2 3 2 3 2" xfId="1157"/>
    <cellStyle name="Comma 2 3 2 3 2 2" xfId="2558"/>
    <cellStyle name="Comma 2 3 2 3 2 2 2" xfId="5368"/>
    <cellStyle name="Comma 2 3 2 3 2 2 2 2" xfId="11004"/>
    <cellStyle name="Comma 2 3 2 3 2 2 3" xfId="8194"/>
    <cellStyle name="Comma 2 3 2 3 2 3" xfId="3967"/>
    <cellStyle name="Comma 2 3 2 3 2 3 2" xfId="9603"/>
    <cellStyle name="Comma 2 3 2 3 2 4" xfId="6793"/>
    <cellStyle name="Comma 2 3 2 3 3" xfId="1862"/>
    <cellStyle name="Comma 2 3 2 3 3 2" xfId="4672"/>
    <cellStyle name="Comma 2 3 2 3 3 2 2" xfId="10308"/>
    <cellStyle name="Comma 2 3 2 3 3 3" xfId="7498"/>
    <cellStyle name="Comma 2 3 2 3 4" xfId="3271"/>
    <cellStyle name="Comma 2 3 2 3 4 2" xfId="8907"/>
    <cellStyle name="Comma 2 3 2 3 5" xfId="6097"/>
    <cellStyle name="Comma 2 3 2 4" xfId="813"/>
    <cellStyle name="Comma 2 3 2 4 2" xfId="2214"/>
    <cellStyle name="Comma 2 3 2 4 2 2" xfId="5024"/>
    <cellStyle name="Comma 2 3 2 4 2 2 2" xfId="10660"/>
    <cellStyle name="Comma 2 3 2 4 2 3" xfId="7850"/>
    <cellStyle name="Comma 2 3 2 4 3" xfId="3623"/>
    <cellStyle name="Comma 2 3 2 4 3 2" xfId="9259"/>
    <cellStyle name="Comma 2 3 2 4 4" xfId="6449"/>
    <cellStyle name="Comma 2 3 2 5" xfId="1518"/>
    <cellStyle name="Comma 2 3 2 5 2" xfId="4328"/>
    <cellStyle name="Comma 2 3 2 5 2 2" xfId="9964"/>
    <cellStyle name="Comma 2 3 2 5 3" xfId="7154"/>
    <cellStyle name="Comma 2 3 2 6" xfId="2927"/>
    <cellStyle name="Comma 2 3 2 6 2" xfId="8563"/>
    <cellStyle name="Comma 2 3 2 7" xfId="5753"/>
    <cellStyle name="Comma 2 3 3" xfId="209"/>
    <cellStyle name="Comma 2 3 3 2" xfId="553"/>
    <cellStyle name="Comma 2 3 3 2 2" xfId="1249"/>
    <cellStyle name="Comma 2 3 3 2 2 2" xfId="2650"/>
    <cellStyle name="Comma 2 3 3 2 2 2 2" xfId="5460"/>
    <cellStyle name="Comma 2 3 3 2 2 2 2 2" xfId="11096"/>
    <cellStyle name="Comma 2 3 3 2 2 2 3" xfId="8286"/>
    <cellStyle name="Comma 2 3 3 2 2 3" xfId="4059"/>
    <cellStyle name="Comma 2 3 3 2 2 3 2" xfId="9695"/>
    <cellStyle name="Comma 2 3 3 2 2 4" xfId="6885"/>
    <cellStyle name="Comma 2 3 3 2 3" xfId="1954"/>
    <cellStyle name="Comma 2 3 3 2 3 2" xfId="4764"/>
    <cellStyle name="Comma 2 3 3 2 3 2 2" xfId="10400"/>
    <cellStyle name="Comma 2 3 3 2 3 3" xfId="7590"/>
    <cellStyle name="Comma 2 3 3 2 4" xfId="3363"/>
    <cellStyle name="Comma 2 3 3 2 4 2" xfId="8999"/>
    <cellStyle name="Comma 2 3 3 2 5" xfId="6189"/>
    <cellStyle name="Comma 2 3 3 3" xfId="905"/>
    <cellStyle name="Comma 2 3 3 3 2" xfId="2306"/>
    <cellStyle name="Comma 2 3 3 3 2 2" xfId="5116"/>
    <cellStyle name="Comma 2 3 3 3 2 2 2" xfId="10752"/>
    <cellStyle name="Comma 2 3 3 3 2 3" xfId="7942"/>
    <cellStyle name="Comma 2 3 3 3 3" xfId="3715"/>
    <cellStyle name="Comma 2 3 3 3 3 2" xfId="9351"/>
    <cellStyle name="Comma 2 3 3 3 4" xfId="6541"/>
    <cellStyle name="Comma 2 3 3 4" xfId="1610"/>
    <cellStyle name="Comma 2 3 3 4 2" xfId="4420"/>
    <cellStyle name="Comma 2 3 3 4 2 2" xfId="10056"/>
    <cellStyle name="Comma 2 3 3 4 3" xfId="7246"/>
    <cellStyle name="Comma 2 3 3 5" xfId="3019"/>
    <cellStyle name="Comma 2 3 3 5 2" xfId="8655"/>
    <cellStyle name="Comma 2 3 3 6" xfId="5845"/>
    <cellStyle name="Comma 2 3 4" xfId="381"/>
    <cellStyle name="Comma 2 3 4 2" xfId="1077"/>
    <cellStyle name="Comma 2 3 4 2 2" xfId="2478"/>
    <cellStyle name="Comma 2 3 4 2 2 2" xfId="5288"/>
    <cellStyle name="Comma 2 3 4 2 2 2 2" xfId="10924"/>
    <cellStyle name="Comma 2 3 4 2 2 3" xfId="8114"/>
    <cellStyle name="Comma 2 3 4 2 3" xfId="3887"/>
    <cellStyle name="Comma 2 3 4 2 3 2" xfId="9523"/>
    <cellStyle name="Comma 2 3 4 2 4" xfId="6713"/>
    <cellStyle name="Comma 2 3 4 3" xfId="1782"/>
    <cellStyle name="Comma 2 3 4 3 2" xfId="4592"/>
    <cellStyle name="Comma 2 3 4 3 2 2" xfId="10228"/>
    <cellStyle name="Comma 2 3 4 3 3" xfId="7418"/>
    <cellStyle name="Comma 2 3 4 4" xfId="3191"/>
    <cellStyle name="Comma 2 3 4 4 2" xfId="8827"/>
    <cellStyle name="Comma 2 3 4 5" xfId="6017"/>
    <cellStyle name="Comma 2 3 5" xfId="733"/>
    <cellStyle name="Comma 2 3 5 2" xfId="2134"/>
    <cellStyle name="Comma 2 3 5 2 2" xfId="4944"/>
    <cellStyle name="Comma 2 3 5 2 2 2" xfId="10580"/>
    <cellStyle name="Comma 2 3 5 2 3" xfId="7770"/>
    <cellStyle name="Comma 2 3 5 3" xfId="3543"/>
    <cellStyle name="Comma 2 3 5 3 2" xfId="9179"/>
    <cellStyle name="Comma 2 3 5 4" xfId="6369"/>
    <cellStyle name="Comma 2 3 6" xfId="1438"/>
    <cellStyle name="Comma 2 3 6 2" xfId="4248"/>
    <cellStyle name="Comma 2 3 6 2 2" xfId="9884"/>
    <cellStyle name="Comma 2 3 6 3" xfId="7074"/>
    <cellStyle name="Comma 2 3 7" xfId="2847"/>
    <cellStyle name="Comma 2 3 7 2" xfId="8483"/>
    <cellStyle name="Comma 2 3 8" xfId="5673"/>
    <cellStyle name="Comma 2 4" xfId="85"/>
    <cellStyle name="Comma 2 4 2" xfId="257"/>
    <cellStyle name="Comma 2 4 2 2" xfId="601"/>
    <cellStyle name="Comma 2 4 2 2 2" xfId="1297"/>
    <cellStyle name="Comma 2 4 2 2 2 2" xfId="2698"/>
    <cellStyle name="Comma 2 4 2 2 2 2 2" xfId="5508"/>
    <cellStyle name="Comma 2 4 2 2 2 2 2 2" xfId="11144"/>
    <cellStyle name="Comma 2 4 2 2 2 2 3" xfId="8334"/>
    <cellStyle name="Comma 2 4 2 2 2 3" xfId="4107"/>
    <cellStyle name="Comma 2 4 2 2 2 3 2" xfId="9743"/>
    <cellStyle name="Comma 2 4 2 2 2 4" xfId="6933"/>
    <cellStyle name="Comma 2 4 2 2 3" xfId="2002"/>
    <cellStyle name="Comma 2 4 2 2 3 2" xfId="4812"/>
    <cellStyle name="Comma 2 4 2 2 3 2 2" xfId="10448"/>
    <cellStyle name="Comma 2 4 2 2 3 3" xfId="7638"/>
    <cellStyle name="Comma 2 4 2 2 4" xfId="3411"/>
    <cellStyle name="Comma 2 4 2 2 4 2" xfId="9047"/>
    <cellStyle name="Comma 2 4 2 2 5" xfId="6237"/>
    <cellStyle name="Comma 2 4 2 3" xfId="953"/>
    <cellStyle name="Comma 2 4 2 3 2" xfId="2354"/>
    <cellStyle name="Comma 2 4 2 3 2 2" xfId="5164"/>
    <cellStyle name="Comma 2 4 2 3 2 2 2" xfId="10800"/>
    <cellStyle name="Comma 2 4 2 3 2 3" xfId="7990"/>
    <cellStyle name="Comma 2 4 2 3 3" xfId="3763"/>
    <cellStyle name="Comma 2 4 2 3 3 2" xfId="9399"/>
    <cellStyle name="Comma 2 4 2 3 4" xfId="6589"/>
    <cellStyle name="Comma 2 4 2 4" xfId="1658"/>
    <cellStyle name="Comma 2 4 2 4 2" xfId="4468"/>
    <cellStyle name="Comma 2 4 2 4 2 2" xfId="10104"/>
    <cellStyle name="Comma 2 4 2 4 3" xfId="7294"/>
    <cellStyle name="Comma 2 4 2 5" xfId="3067"/>
    <cellStyle name="Comma 2 4 2 5 2" xfId="8703"/>
    <cellStyle name="Comma 2 4 2 6" xfId="5893"/>
    <cellStyle name="Comma 2 4 3" xfId="429"/>
    <cellStyle name="Comma 2 4 3 2" xfId="1125"/>
    <cellStyle name="Comma 2 4 3 2 2" xfId="2526"/>
    <cellStyle name="Comma 2 4 3 2 2 2" xfId="5336"/>
    <cellStyle name="Comma 2 4 3 2 2 2 2" xfId="10972"/>
    <cellStyle name="Comma 2 4 3 2 2 3" xfId="8162"/>
    <cellStyle name="Comma 2 4 3 2 3" xfId="3935"/>
    <cellStyle name="Comma 2 4 3 2 3 2" xfId="9571"/>
    <cellStyle name="Comma 2 4 3 2 4" xfId="6761"/>
    <cellStyle name="Comma 2 4 3 3" xfId="1830"/>
    <cellStyle name="Comma 2 4 3 3 2" xfId="4640"/>
    <cellStyle name="Comma 2 4 3 3 2 2" xfId="10276"/>
    <cellStyle name="Comma 2 4 3 3 3" xfId="7466"/>
    <cellStyle name="Comma 2 4 3 4" xfId="3239"/>
    <cellStyle name="Comma 2 4 3 4 2" xfId="8875"/>
    <cellStyle name="Comma 2 4 3 5" xfId="6065"/>
    <cellStyle name="Comma 2 4 4" xfId="781"/>
    <cellStyle name="Comma 2 4 4 2" xfId="2182"/>
    <cellStyle name="Comma 2 4 4 2 2" xfId="4992"/>
    <cellStyle name="Comma 2 4 4 2 2 2" xfId="10628"/>
    <cellStyle name="Comma 2 4 4 2 3" xfId="7818"/>
    <cellStyle name="Comma 2 4 4 3" xfId="3591"/>
    <cellStyle name="Comma 2 4 4 3 2" xfId="9227"/>
    <cellStyle name="Comma 2 4 4 4" xfId="6417"/>
    <cellStyle name="Comma 2 4 5" xfId="1486"/>
    <cellStyle name="Comma 2 4 5 2" xfId="4296"/>
    <cellStyle name="Comma 2 4 5 2 2" xfId="9932"/>
    <cellStyle name="Comma 2 4 5 3" xfId="7122"/>
    <cellStyle name="Comma 2 4 6" xfId="2895"/>
    <cellStyle name="Comma 2 4 6 2" xfId="8531"/>
    <cellStyle name="Comma 2 4 7" xfId="5721"/>
    <cellStyle name="Comma 2 5" xfId="177"/>
    <cellStyle name="Comma 2 5 2" xfId="521"/>
    <cellStyle name="Comma 2 5 2 2" xfId="1217"/>
    <cellStyle name="Comma 2 5 2 2 2" xfId="2618"/>
    <cellStyle name="Comma 2 5 2 2 2 2" xfId="5428"/>
    <cellStyle name="Comma 2 5 2 2 2 2 2" xfId="11064"/>
    <cellStyle name="Comma 2 5 2 2 2 3" xfId="8254"/>
    <cellStyle name="Comma 2 5 2 2 3" xfId="4027"/>
    <cellStyle name="Comma 2 5 2 2 3 2" xfId="9663"/>
    <cellStyle name="Comma 2 5 2 2 4" xfId="6853"/>
    <cellStyle name="Comma 2 5 2 3" xfId="1922"/>
    <cellStyle name="Comma 2 5 2 3 2" xfId="4732"/>
    <cellStyle name="Comma 2 5 2 3 2 2" xfId="10368"/>
    <cellStyle name="Comma 2 5 2 3 3" xfId="7558"/>
    <cellStyle name="Comma 2 5 2 4" xfId="3331"/>
    <cellStyle name="Comma 2 5 2 4 2" xfId="8967"/>
    <cellStyle name="Comma 2 5 2 5" xfId="6157"/>
    <cellStyle name="Comma 2 5 3" xfId="873"/>
    <cellStyle name="Comma 2 5 3 2" xfId="2274"/>
    <cellStyle name="Comma 2 5 3 2 2" xfId="5084"/>
    <cellStyle name="Comma 2 5 3 2 2 2" xfId="10720"/>
    <cellStyle name="Comma 2 5 3 2 3" xfId="7910"/>
    <cellStyle name="Comma 2 5 3 3" xfId="3683"/>
    <cellStyle name="Comma 2 5 3 3 2" xfId="9319"/>
    <cellStyle name="Comma 2 5 3 4" xfId="6509"/>
    <cellStyle name="Comma 2 5 4" xfId="1578"/>
    <cellStyle name="Comma 2 5 4 2" xfId="4388"/>
    <cellStyle name="Comma 2 5 4 2 2" xfId="10024"/>
    <cellStyle name="Comma 2 5 4 3" xfId="7214"/>
    <cellStyle name="Comma 2 5 5" xfId="2987"/>
    <cellStyle name="Comma 2 5 5 2" xfId="8623"/>
    <cellStyle name="Comma 2 5 6" xfId="5813"/>
    <cellStyle name="Comma 2 6" xfId="349"/>
    <cellStyle name="Comma 2 6 2" xfId="1045"/>
    <cellStyle name="Comma 2 6 2 2" xfId="2446"/>
    <cellStyle name="Comma 2 6 2 2 2" xfId="5256"/>
    <cellStyle name="Comma 2 6 2 2 2 2" xfId="10892"/>
    <cellStyle name="Comma 2 6 2 2 3" xfId="8082"/>
    <cellStyle name="Comma 2 6 2 3" xfId="3855"/>
    <cellStyle name="Comma 2 6 2 3 2" xfId="9491"/>
    <cellStyle name="Comma 2 6 2 4" xfId="6681"/>
    <cellStyle name="Comma 2 6 3" xfId="1750"/>
    <cellStyle name="Comma 2 6 3 2" xfId="4560"/>
    <cellStyle name="Comma 2 6 3 2 2" xfId="10196"/>
    <cellStyle name="Comma 2 6 3 3" xfId="7386"/>
    <cellStyle name="Comma 2 6 4" xfId="3159"/>
    <cellStyle name="Comma 2 6 4 2" xfId="8795"/>
    <cellStyle name="Comma 2 6 5" xfId="5985"/>
    <cellStyle name="Comma 2 7" xfId="701"/>
    <cellStyle name="Comma 2 7 2" xfId="2102"/>
    <cellStyle name="Comma 2 7 2 2" xfId="4912"/>
    <cellStyle name="Comma 2 7 2 2 2" xfId="10548"/>
    <cellStyle name="Comma 2 7 2 3" xfId="7738"/>
    <cellStyle name="Comma 2 7 3" xfId="3511"/>
    <cellStyle name="Comma 2 7 3 2" xfId="9147"/>
    <cellStyle name="Comma 2 7 4" xfId="6337"/>
    <cellStyle name="Comma 2 8" xfId="1406"/>
    <cellStyle name="Comma 2 8 2" xfId="4216"/>
    <cellStyle name="Comma 2 8 2 2" xfId="9852"/>
    <cellStyle name="Comma 2 8 3" xfId="7042"/>
    <cellStyle name="Comma 2 9" xfId="2815"/>
    <cellStyle name="Comma 2 9 2" xfId="8451"/>
    <cellStyle name="Comma 20" xfId="165"/>
    <cellStyle name="Comma 20 2" xfId="337"/>
    <cellStyle name="Comma 20 2 2" xfId="681"/>
    <cellStyle name="Comma 20 2 2 2" xfId="1377"/>
    <cellStyle name="Comma 20 2 2 2 2" xfId="2778"/>
    <cellStyle name="Comma 20 2 2 2 2 2" xfId="5588"/>
    <cellStyle name="Comma 20 2 2 2 2 2 2" xfId="11224"/>
    <cellStyle name="Comma 20 2 2 2 2 3" xfId="8414"/>
    <cellStyle name="Comma 20 2 2 2 3" xfId="4187"/>
    <cellStyle name="Comma 20 2 2 2 3 2" xfId="9823"/>
    <cellStyle name="Comma 20 2 2 2 4" xfId="7013"/>
    <cellStyle name="Comma 20 2 2 3" xfId="2082"/>
    <cellStyle name="Comma 20 2 2 3 2" xfId="4892"/>
    <cellStyle name="Comma 20 2 2 3 2 2" xfId="10528"/>
    <cellStyle name="Comma 20 2 2 3 3" xfId="7718"/>
    <cellStyle name="Comma 20 2 2 4" xfId="3491"/>
    <cellStyle name="Comma 20 2 2 4 2" xfId="9127"/>
    <cellStyle name="Comma 20 2 2 5" xfId="6317"/>
    <cellStyle name="Comma 20 2 3" xfId="1033"/>
    <cellStyle name="Comma 20 2 3 2" xfId="2434"/>
    <cellStyle name="Comma 20 2 3 2 2" xfId="5244"/>
    <cellStyle name="Comma 20 2 3 2 2 2" xfId="10880"/>
    <cellStyle name="Comma 20 2 3 2 3" xfId="8070"/>
    <cellStyle name="Comma 20 2 3 3" xfId="3843"/>
    <cellStyle name="Comma 20 2 3 3 2" xfId="9479"/>
    <cellStyle name="Comma 20 2 3 4" xfId="6669"/>
    <cellStyle name="Comma 20 2 4" xfId="1738"/>
    <cellStyle name="Comma 20 2 4 2" xfId="4548"/>
    <cellStyle name="Comma 20 2 4 2 2" xfId="10184"/>
    <cellStyle name="Comma 20 2 4 3" xfId="7374"/>
    <cellStyle name="Comma 20 2 5" xfId="3147"/>
    <cellStyle name="Comma 20 2 5 2" xfId="8783"/>
    <cellStyle name="Comma 20 2 6" xfId="5973"/>
    <cellStyle name="Comma 20 3" xfId="509"/>
    <cellStyle name="Comma 20 3 2" xfId="1205"/>
    <cellStyle name="Comma 20 3 2 2" xfId="2606"/>
    <cellStyle name="Comma 20 3 2 2 2" xfId="5416"/>
    <cellStyle name="Comma 20 3 2 2 2 2" xfId="11052"/>
    <cellStyle name="Comma 20 3 2 2 3" xfId="8242"/>
    <cellStyle name="Comma 20 3 2 3" xfId="4015"/>
    <cellStyle name="Comma 20 3 2 3 2" xfId="9651"/>
    <cellStyle name="Comma 20 3 2 4" xfId="6841"/>
    <cellStyle name="Comma 20 3 3" xfId="1910"/>
    <cellStyle name="Comma 20 3 3 2" xfId="4720"/>
    <cellStyle name="Comma 20 3 3 2 2" xfId="10356"/>
    <cellStyle name="Comma 20 3 3 3" xfId="7546"/>
    <cellStyle name="Comma 20 3 4" xfId="3319"/>
    <cellStyle name="Comma 20 3 4 2" xfId="8955"/>
    <cellStyle name="Comma 20 3 5" xfId="6145"/>
    <cellStyle name="Comma 20 4" xfId="861"/>
    <cellStyle name="Comma 20 4 2" xfId="2262"/>
    <cellStyle name="Comma 20 4 2 2" xfId="5072"/>
    <cellStyle name="Comma 20 4 2 2 2" xfId="10708"/>
    <cellStyle name="Comma 20 4 2 3" xfId="7898"/>
    <cellStyle name="Comma 20 4 3" xfId="3671"/>
    <cellStyle name="Comma 20 4 3 2" xfId="9307"/>
    <cellStyle name="Comma 20 4 4" xfId="6497"/>
    <cellStyle name="Comma 20 5" xfId="1566"/>
    <cellStyle name="Comma 20 5 2" xfId="4376"/>
    <cellStyle name="Comma 20 5 2 2" xfId="10012"/>
    <cellStyle name="Comma 20 5 3" xfId="7202"/>
    <cellStyle name="Comma 20 6" xfId="2975"/>
    <cellStyle name="Comma 20 6 2" xfId="8611"/>
    <cellStyle name="Comma 20 7" xfId="5801"/>
    <cellStyle name="Comma 21" xfId="167"/>
    <cellStyle name="Comma 21 2" xfId="339"/>
    <cellStyle name="Comma 21 2 2" xfId="683"/>
    <cellStyle name="Comma 21 2 2 2" xfId="1379"/>
    <cellStyle name="Comma 21 2 2 2 2" xfId="2780"/>
    <cellStyle name="Comma 21 2 2 2 2 2" xfId="5590"/>
    <cellStyle name="Comma 21 2 2 2 2 2 2" xfId="11226"/>
    <cellStyle name="Comma 21 2 2 2 2 3" xfId="8416"/>
    <cellStyle name="Comma 21 2 2 2 3" xfId="4189"/>
    <cellStyle name="Comma 21 2 2 2 3 2" xfId="9825"/>
    <cellStyle name="Comma 21 2 2 2 4" xfId="7015"/>
    <cellStyle name="Comma 21 2 2 3" xfId="2084"/>
    <cellStyle name="Comma 21 2 2 3 2" xfId="4894"/>
    <cellStyle name="Comma 21 2 2 3 2 2" xfId="10530"/>
    <cellStyle name="Comma 21 2 2 3 3" xfId="7720"/>
    <cellStyle name="Comma 21 2 2 4" xfId="3493"/>
    <cellStyle name="Comma 21 2 2 4 2" xfId="9129"/>
    <cellStyle name="Comma 21 2 2 5" xfId="6319"/>
    <cellStyle name="Comma 21 2 3" xfId="1035"/>
    <cellStyle name="Comma 21 2 3 2" xfId="2436"/>
    <cellStyle name="Comma 21 2 3 2 2" xfId="5246"/>
    <cellStyle name="Comma 21 2 3 2 2 2" xfId="10882"/>
    <cellStyle name="Comma 21 2 3 2 3" xfId="8072"/>
    <cellStyle name="Comma 21 2 3 3" xfId="3845"/>
    <cellStyle name="Comma 21 2 3 3 2" xfId="9481"/>
    <cellStyle name="Comma 21 2 3 4" xfId="6671"/>
    <cellStyle name="Comma 21 2 4" xfId="1740"/>
    <cellStyle name="Comma 21 2 4 2" xfId="4550"/>
    <cellStyle name="Comma 21 2 4 2 2" xfId="10186"/>
    <cellStyle name="Comma 21 2 4 3" xfId="7376"/>
    <cellStyle name="Comma 21 2 5" xfId="3149"/>
    <cellStyle name="Comma 21 2 5 2" xfId="8785"/>
    <cellStyle name="Comma 21 2 6" xfId="5975"/>
    <cellStyle name="Comma 21 3" xfId="511"/>
    <cellStyle name="Comma 21 3 2" xfId="1207"/>
    <cellStyle name="Comma 21 3 2 2" xfId="2608"/>
    <cellStyle name="Comma 21 3 2 2 2" xfId="5418"/>
    <cellStyle name="Comma 21 3 2 2 2 2" xfId="11054"/>
    <cellStyle name="Comma 21 3 2 2 3" xfId="8244"/>
    <cellStyle name="Comma 21 3 2 3" xfId="4017"/>
    <cellStyle name="Comma 21 3 2 3 2" xfId="9653"/>
    <cellStyle name="Comma 21 3 2 4" xfId="6843"/>
    <cellStyle name="Comma 21 3 3" xfId="1912"/>
    <cellStyle name="Comma 21 3 3 2" xfId="4722"/>
    <cellStyle name="Comma 21 3 3 2 2" xfId="10358"/>
    <cellStyle name="Comma 21 3 3 3" xfId="7548"/>
    <cellStyle name="Comma 21 3 4" xfId="3321"/>
    <cellStyle name="Comma 21 3 4 2" xfId="8957"/>
    <cellStyle name="Comma 21 3 5" xfId="6147"/>
    <cellStyle name="Comma 21 4" xfId="863"/>
    <cellStyle name="Comma 21 4 2" xfId="2264"/>
    <cellStyle name="Comma 21 4 2 2" xfId="5074"/>
    <cellStyle name="Comma 21 4 2 2 2" xfId="10710"/>
    <cellStyle name="Comma 21 4 2 3" xfId="7900"/>
    <cellStyle name="Comma 21 4 3" xfId="3673"/>
    <cellStyle name="Comma 21 4 3 2" xfId="9309"/>
    <cellStyle name="Comma 21 4 4" xfId="6499"/>
    <cellStyle name="Comma 21 5" xfId="1568"/>
    <cellStyle name="Comma 21 5 2" xfId="4378"/>
    <cellStyle name="Comma 21 5 2 2" xfId="10014"/>
    <cellStyle name="Comma 21 5 3" xfId="7204"/>
    <cellStyle name="Comma 21 6" xfId="2977"/>
    <cellStyle name="Comma 21 6 2" xfId="8613"/>
    <cellStyle name="Comma 21 7" xfId="5803"/>
    <cellStyle name="Comma 22" xfId="169"/>
    <cellStyle name="Comma 22 2" xfId="341"/>
    <cellStyle name="Comma 22 2 2" xfId="685"/>
    <cellStyle name="Comma 22 2 2 2" xfId="1381"/>
    <cellStyle name="Comma 22 2 2 2 2" xfId="2782"/>
    <cellStyle name="Comma 22 2 2 2 2 2" xfId="5592"/>
    <cellStyle name="Comma 22 2 2 2 2 2 2" xfId="11228"/>
    <cellStyle name="Comma 22 2 2 2 2 3" xfId="8418"/>
    <cellStyle name="Comma 22 2 2 2 3" xfId="4191"/>
    <cellStyle name="Comma 22 2 2 2 3 2" xfId="9827"/>
    <cellStyle name="Comma 22 2 2 2 4" xfId="7017"/>
    <cellStyle name="Comma 22 2 2 3" xfId="2086"/>
    <cellStyle name="Comma 22 2 2 3 2" xfId="4896"/>
    <cellStyle name="Comma 22 2 2 3 2 2" xfId="10532"/>
    <cellStyle name="Comma 22 2 2 3 3" xfId="7722"/>
    <cellStyle name="Comma 22 2 2 4" xfId="3495"/>
    <cellStyle name="Comma 22 2 2 4 2" xfId="9131"/>
    <cellStyle name="Comma 22 2 2 5" xfId="6321"/>
    <cellStyle name="Comma 22 2 3" xfId="1037"/>
    <cellStyle name="Comma 22 2 3 2" xfId="2438"/>
    <cellStyle name="Comma 22 2 3 2 2" xfId="5248"/>
    <cellStyle name="Comma 22 2 3 2 2 2" xfId="10884"/>
    <cellStyle name="Comma 22 2 3 2 3" xfId="8074"/>
    <cellStyle name="Comma 22 2 3 3" xfId="3847"/>
    <cellStyle name="Comma 22 2 3 3 2" xfId="9483"/>
    <cellStyle name="Comma 22 2 3 4" xfId="6673"/>
    <cellStyle name="Comma 22 2 4" xfId="1742"/>
    <cellStyle name="Comma 22 2 4 2" xfId="4552"/>
    <cellStyle name="Comma 22 2 4 2 2" xfId="10188"/>
    <cellStyle name="Comma 22 2 4 3" xfId="7378"/>
    <cellStyle name="Comma 22 2 5" xfId="3151"/>
    <cellStyle name="Comma 22 2 5 2" xfId="8787"/>
    <cellStyle name="Comma 22 2 6" xfId="5977"/>
    <cellStyle name="Comma 22 3" xfId="513"/>
    <cellStyle name="Comma 22 3 2" xfId="1209"/>
    <cellStyle name="Comma 22 3 2 2" xfId="2610"/>
    <cellStyle name="Comma 22 3 2 2 2" xfId="5420"/>
    <cellStyle name="Comma 22 3 2 2 2 2" xfId="11056"/>
    <cellStyle name="Comma 22 3 2 2 3" xfId="8246"/>
    <cellStyle name="Comma 22 3 2 3" xfId="4019"/>
    <cellStyle name="Comma 22 3 2 3 2" xfId="9655"/>
    <cellStyle name="Comma 22 3 2 4" xfId="6845"/>
    <cellStyle name="Comma 22 3 3" xfId="1914"/>
    <cellStyle name="Comma 22 3 3 2" xfId="4724"/>
    <cellStyle name="Comma 22 3 3 2 2" xfId="10360"/>
    <cellStyle name="Comma 22 3 3 3" xfId="7550"/>
    <cellStyle name="Comma 22 3 4" xfId="3323"/>
    <cellStyle name="Comma 22 3 4 2" xfId="8959"/>
    <cellStyle name="Comma 22 3 5" xfId="6149"/>
    <cellStyle name="Comma 22 4" xfId="865"/>
    <cellStyle name="Comma 22 4 2" xfId="2266"/>
    <cellStyle name="Comma 22 4 2 2" xfId="5076"/>
    <cellStyle name="Comma 22 4 2 2 2" xfId="10712"/>
    <cellStyle name="Comma 22 4 2 3" xfId="7902"/>
    <cellStyle name="Comma 22 4 3" xfId="3675"/>
    <cellStyle name="Comma 22 4 3 2" xfId="9311"/>
    <cellStyle name="Comma 22 4 4" xfId="6501"/>
    <cellStyle name="Comma 22 5" xfId="1570"/>
    <cellStyle name="Comma 22 5 2" xfId="4380"/>
    <cellStyle name="Comma 22 5 2 2" xfId="10016"/>
    <cellStyle name="Comma 22 5 3" xfId="7206"/>
    <cellStyle name="Comma 22 6" xfId="2979"/>
    <cellStyle name="Comma 22 6 2" xfId="8615"/>
    <cellStyle name="Comma 22 7" xfId="5805"/>
    <cellStyle name="Comma 23" xfId="171"/>
    <cellStyle name="Comma 23 2" xfId="343"/>
    <cellStyle name="Comma 23 2 2" xfId="687"/>
    <cellStyle name="Comma 23 2 2 2" xfId="1383"/>
    <cellStyle name="Comma 23 2 2 2 2" xfId="2784"/>
    <cellStyle name="Comma 23 2 2 2 2 2" xfId="5594"/>
    <cellStyle name="Comma 23 2 2 2 2 2 2" xfId="11230"/>
    <cellStyle name="Comma 23 2 2 2 2 3" xfId="8420"/>
    <cellStyle name="Comma 23 2 2 2 3" xfId="4193"/>
    <cellStyle name="Comma 23 2 2 2 3 2" xfId="9829"/>
    <cellStyle name="Comma 23 2 2 2 4" xfId="7019"/>
    <cellStyle name="Comma 23 2 2 3" xfId="2088"/>
    <cellStyle name="Comma 23 2 2 3 2" xfId="4898"/>
    <cellStyle name="Comma 23 2 2 3 2 2" xfId="10534"/>
    <cellStyle name="Comma 23 2 2 3 3" xfId="7724"/>
    <cellStyle name="Comma 23 2 2 4" xfId="3497"/>
    <cellStyle name="Comma 23 2 2 4 2" xfId="9133"/>
    <cellStyle name="Comma 23 2 2 5" xfId="6323"/>
    <cellStyle name="Comma 23 2 3" xfId="1039"/>
    <cellStyle name="Comma 23 2 3 2" xfId="2440"/>
    <cellStyle name="Comma 23 2 3 2 2" xfId="5250"/>
    <cellStyle name="Comma 23 2 3 2 2 2" xfId="10886"/>
    <cellStyle name="Comma 23 2 3 2 3" xfId="8076"/>
    <cellStyle name="Comma 23 2 3 3" xfId="3849"/>
    <cellStyle name="Comma 23 2 3 3 2" xfId="9485"/>
    <cellStyle name="Comma 23 2 3 4" xfId="6675"/>
    <cellStyle name="Comma 23 2 4" xfId="1744"/>
    <cellStyle name="Comma 23 2 4 2" xfId="4554"/>
    <cellStyle name="Comma 23 2 4 2 2" xfId="10190"/>
    <cellStyle name="Comma 23 2 4 3" xfId="7380"/>
    <cellStyle name="Comma 23 2 5" xfId="3153"/>
    <cellStyle name="Comma 23 2 5 2" xfId="8789"/>
    <cellStyle name="Comma 23 2 6" xfId="5979"/>
    <cellStyle name="Comma 23 3" xfId="515"/>
    <cellStyle name="Comma 23 3 2" xfId="1211"/>
    <cellStyle name="Comma 23 3 2 2" xfId="2612"/>
    <cellStyle name="Comma 23 3 2 2 2" xfId="5422"/>
    <cellStyle name="Comma 23 3 2 2 2 2" xfId="11058"/>
    <cellStyle name="Comma 23 3 2 2 3" xfId="8248"/>
    <cellStyle name="Comma 23 3 2 3" xfId="4021"/>
    <cellStyle name="Comma 23 3 2 3 2" xfId="9657"/>
    <cellStyle name="Comma 23 3 2 4" xfId="6847"/>
    <cellStyle name="Comma 23 3 3" xfId="1916"/>
    <cellStyle name="Comma 23 3 3 2" xfId="4726"/>
    <cellStyle name="Comma 23 3 3 2 2" xfId="10362"/>
    <cellStyle name="Comma 23 3 3 3" xfId="7552"/>
    <cellStyle name="Comma 23 3 4" xfId="3325"/>
    <cellStyle name="Comma 23 3 4 2" xfId="8961"/>
    <cellStyle name="Comma 23 3 5" xfId="6151"/>
    <cellStyle name="Comma 23 4" xfId="867"/>
    <cellStyle name="Comma 23 4 2" xfId="2268"/>
    <cellStyle name="Comma 23 4 2 2" xfId="5078"/>
    <cellStyle name="Comma 23 4 2 2 2" xfId="10714"/>
    <cellStyle name="Comma 23 4 2 3" xfId="7904"/>
    <cellStyle name="Comma 23 4 3" xfId="3677"/>
    <cellStyle name="Comma 23 4 3 2" xfId="9313"/>
    <cellStyle name="Comma 23 4 4" xfId="6503"/>
    <cellStyle name="Comma 23 5" xfId="1572"/>
    <cellStyle name="Comma 23 5 2" xfId="4382"/>
    <cellStyle name="Comma 23 5 2 2" xfId="10018"/>
    <cellStyle name="Comma 23 5 3" xfId="7208"/>
    <cellStyle name="Comma 23 6" xfId="2981"/>
    <cellStyle name="Comma 23 6 2" xfId="8617"/>
    <cellStyle name="Comma 23 7" xfId="5807"/>
    <cellStyle name="Comma 24" xfId="173"/>
    <cellStyle name="Comma 24 2" xfId="517"/>
    <cellStyle name="Comma 24 2 2" xfId="1213"/>
    <cellStyle name="Comma 24 2 2 2" xfId="2614"/>
    <cellStyle name="Comma 24 2 2 2 2" xfId="5424"/>
    <cellStyle name="Comma 24 2 2 2 2 2" xfId="11060"/>
    <cellStyle name="Comma 24 2 2 2 3" xfId="8250"/>
    <cellStyle name="Comma 24 2 2 3" xfId="4023"/>
    <cellStyle name="Comma 24 2 2 3 2" xfId="9659"/>
    <cellStyle name="Comma 24 2 2 4" xfId="6849"/>
    <cellStyle name="Comma 24 2 3" xfId="1918"/>
    <cellStyle name="Comma 24 2 3 2" xfId="4728"/>
    <cellStyle name="Comma 24 2 3 2 2" xfId="10364"/>
    <cellStyle name="Comma 24 2 3 3" xfId="7554"/>
    <cellStyle name="Comma 24 2 4" xfId="3327"/>
    <cellStyle name="Comma 24 2 4 2" xfId="8963"/>
    <cellStyle name="Comma 24 2 5" xfId="6153"/>
    <cellStyle name="Comma 24 3" xfId="869"/>
    <cellStyle name="Comma 24 3 2" xfId="2270"/>
    <cellStyle name="Comma 24 3 2 2" xfId="5080"/>
    <cellStyle name="Comma 24 3 2 2 2" xfId="10716"/>
    <cellStyle name="Comma 24 3 2 3" xfId="7906"/>
    <cellStyle name="Comma 24 3 3" xfId="3679"/>
    <cellStyle name="Comma 24 3 3 2" xfId="9315"/>
    <cellStyle name="Comma 24 3 4" xfId="6505"/>
    <cellStyle name="Comma 24 4" xfId="1574"/>
    <cellStyle name="Comma 24 4 2" xfId="4384"/>
    <cellStyle name="Comma 24 4 2 2" xfId="10020"/>
    <cellStyle name="Comma 24 4 3" xfId="7210"/>
    <cellStyle name="Comma 24 5" xfId="2983"/>
    <cellStyle name="Comma 24 5 2" xfId="8619"/>
    <cellStyle name="Comma 24 6" xfId="5809"/>
    <cellStyle name="Comma 25" xfId="345"/>
    <cellStyle name="Comma 25 2" xfId="1041"/>
    <cellStyle name="Comma 25 2 2" xfId="2442"/>
    <cellStyle name="Comma 25 2 2 2" xfId="5252"/>
    <cellStyle name="Comma 25 2 2 2 2" xfId="10888"/>
    <cellStyle name="Comma 25 2 2 3" xfId="8078"/>
    <cellStyle name="Comma 25 2 3" xfId="3851"/>
    <cellStyle name="Comma 25 2 3 2" xfId="9487"/>
    <cellStyle name="Comma 25 2 4" xfId="6677"/>
    <cellStyle name="Comma 25 3" xfId="1746"/>
    <cellStyle name="Comma 25 3 2" xfId="4556"/>
    <cellStyle name="Comma 25 3 2 2" xfId="10192"/>
    <cellStyle name="Comma 25 3 3" xfId="7382"/>
    <cellStyle name="Comma 25 4" xfId="3155"/>
    <cellStyle name="Comma 25 4 2" xfId="8791"/>
    <cellStyle name="Comma 25 5" xfId="5981"/>
    <cellStyle name="Comma 26" xfId="689"/>
    <cellStyle name="Comma 26 2" xfId="1385"/>
    <cellStyle name="Comma 26 2 2" xfId="2786"/>
    <cellStyle name="Comma 26 2 2 2" xfId="5596"/>
    <cellStyle name="Comma 26 2 2 2 2" xfId="11232"/>
    <cellStyle name="Comma 26 2 2 3" xfId="8422"/>
    <cellStyle name="Comma 26 2 3" xfId="4195"/>
    <cellStyle name="Comma 26 2 3 2" xfId="9831"/>
    <cellStyle name="Comma 26 2 4" xfId="7021"/>
    <cellStyle name="Comma 26 3" xfId="2090"/>
    <cellStyle name="Comma 26 3 2" xfId="4900"/>
    <cellStyle name="Comma 26 3 2 2" xfId="10536"/>
    <cellStyle name="Comma 26 3 3" xfId="7726"/>
    <cellStyle name="Comma 26 4" xfId="3499"/>
    <cellStyle name="Comma 26 4 2" xfId="9135"/>
    <cellStyle name="Comma 26 5" xfId="6325"/>
    <cellStyle name="Comma 27" xfId="691"/>
    <cellStyle name="Comma 27 2" xfId="1387"/>
    <cellStyle name="Comma 27 2 2" xfId="2788"/>
    <cellStyle name="Comma 27 2 2 2" xfId="5598"/>
    <cellStyle name="Comma 27 2 2 2 2" xfId="11234"/>
    <cellStyle name="Comma 27 2 2 3" xfId="8424"/>
    <cellStyle name="Comma 27 2 3" xfId="4197"/>
    <cellStyle name="Comma 27 2 3 2" xfId="9833"/>
    <cellStyle name="Comma 27 2 4" xfId="7023"/>
    <cellStyle name="Comma 27 3" xfId="2092"/>
    <cellStyle name="Comma 27 3 2" xfId="4902"/>
    <cellStyle name="Comma 27 3 2 2" xfId="10538"/>
    <cellStyle name="Comma 27 3 3" xfId="7728"/>
    <cellStyle name="Comma 27 4" xfId="3501"/>
    <cellStyle name="Comma 27 4 2" xfId="9137"/>
    <cellStyle name="Comma 27 5" xfId="6327"/>
    <cellStyle name="Comma 28" xfId="693"/>
    <cellStyle name="Comma 28 2" xfId="1389"/>
    <cellStyle name="Comma 28 2 2" xfId="2790"/>
    <cellStyle name="Comma 28 2 2 2" xfId="5600"/>
    <cellStyle name="Comma 28 2 2 2 2" xfId="11236"/>
    <cellStyle name="Comma 28 2 2 3" xfId="8426"/>
    <cellStyle name="Comma 28 2 3" xfId="4199"/>
    <cellStyle name="Comma 28 2 3 2" xfId="9835"/>
    <cellStyle name="Comma 28 2 4" xfId="7025"/>
    <cellStyle name="Comma 28 3" xfId="2094"/>
    <cellStyle name="Comma 28 3 2" xfId="4904"/>
    <cellStyle name="Comma 28 3 2 2" xfId="10540"/>
    <cellStyle name="Comma 28 3 3" xfId="7730"/>
    <cellStyle name="Comma 28 4" xfId="3503"/>
    <cellStyle name="Comma 28 4 2" xfId="9139"/>
    <cellStyle name="Comma 28 5" xfId="6329"/>
    <cellStyle name="Comma 29" xfId="695"/>
    <cellStyle name="Comma 29 2" xfId="1391"/>
    <cellStyle name="Comma 29 2 2" xfId="2792"/>
    <cellStyle name="Comma 29 2 2 2" xfId="5602"/>
    <cellStyle name="Comma 29 2 2 2 2" xfId="11238"/>
    <cellStyle name="Comma 29 2 2 3" xfId="8428"/>
    <cellStyle name="Comma 29 2 3" xfId="4201"/>
    <cellStyle name="Comma 29 2 3 2" xfId="9837"/>
    <cellStyle name="Comma 29 2 4" xfId="7027"/>
    <cellStyle name="Comma 29 3" xfId="2096"/>
    <cellStyle name="Comma 29 3 2" xfId="4906"/>
    <cellStyle name="Comma 29 3 2 2" xfId="10542"/>
    <cellStyle name="Comma 29 3 3" xfId="7732"/>
    <cellStyle name="Comma 29 4" xfId="3505"/>
    <cellStyle name="Comma 29 4 2" xfId="9141"/>
    <cellStyle name="Comma 29 5" xfId="6331"/>
    <cellStyle name="Comma 3" xfId="7"/>
    <cellStyle name="Comma 3 10" xfId="5643"/>
    <cellStyle name="Comma 3 2" xfId="19"/>
    <cellStyle name="Comma 3 2 2" xfId="51"/>
    <cellStyle name="Comma 3 2 2 2" xfId="131"/>
    <cellStyle name="Comma 3 2 2 2 2" xfId="303"/>
    <cellStyle name="Comma 3 2 2 2 2 2" xfId="647"/>
    <cellStyle name="Comma 3 2 2 2 2 2 2" xfId="1343"/>
    <cellStyle name="Comma 3 2 2 2 2 2 2 2" xfId="2744"/>
    <cellStyle name="Comma 3 2 2 2 2 2 2 2 2" xfId="5554"/>
    <cellStyle name="Comma 3 2 2 2 2 2 2 2 2 2" xfId="11190"/>
    <cellStyle name="Comma 3 2 2 2 2 2 2 2 3" xfId="8380"/>
    <cellStyle name="Comma 3 2 2 2 2 2 2 3" xfId="4153"/>
    <cellStyle name="Comma 3 2 2 2 2 2 2 3 2" xfId="9789"/>
    <cellStyle name="Comma 3 2 2 2 2 2 2 4" xfId="6979"/>
    <cellStyle name="Comma 3 2 2 2 2 2 3" xfId="2048"/>
    <cellStyle name="Comma 3 2 2 2 2 2 3 2" xfId="4858"/>
    <cellStyle name="Comma 3 2 2 2 2 2 3 2 2" xfId="10494"/>
    <cellStyle name="Comma 3 2 2 2 2 2 3 3" xfId="7684"/>
    <cellStyle name="Comma 3 2 2 2 2 2 4" xfId="3457"/>
    <cellStyle name="Comma 3 2 2 2 2 2 4 2" xfId="9093"/>
    <cellStyle name="Comma 3 2 2 2 2 2 5" xfId="6283"/>
    <cellStyle name="Comma 3 2 2 2 2 3" xfId="999"/>
    <cellStyle name="Comma 3 2 2 2 2 3 2" xfId="2400"/>
    <cellStyle name="Comma 3 2 2 2 2 3 2 2" xfId="5210"/>
    <cellStyle name="Comma 3 2 2 2 2 3 2 2 2" xfId="10846"/>
    <cellStyle name="Comma 3 2 2 2 2 3 2 3" xfId="8036"/>
    <cellStyle name="Comma 3 2 2 2 2 3 3" xfId="3809"/>
    <cellStyle name="Comma 3 2 2 2 2 3 3 2" xfId="9445"/>
    <cellStyle name="Comma 3 2 2 2 2 3 4" xfId="6635"/>
    <cellStyle name="Comma 3 2 2 2 2 4" xfId="1704"/>
    <cellStyle name="Comma 3 2 2 2 2 4 2" xfId="4514"/>
    <cellStyle name="Comma 3 2 2 2 2 4 2 2" xfId="10150"/>
    <cellStyle name="Comma 3 2 2 2 2 4 3" xfId="7340"/>
    <cellStyle name="Comma 3 2 2 2 2 5" xfId="3113"/>
    <cellStyle name="Comma 3 2 2 2 2 5 2" xfId="8749"/>
    <cellStyle name="Comma 3 2 2 2 2 6" xfId="5939"/>
    <cellStyle name="Comma 3 2 2 2 3" xfId="475"/>
    <cellStyle name="Comma 3 2 2 2 3 2" xfId="1171"/>
    <cellStyle name="Comma 3 2 2 2 3 2 2" xfId="2572"/>
    <cellStyle name="Comma 3 2 2 2 3 2 2 2" xfId="5382"/>
    <cellStyle name="Comma 3 2 2 2 3 2 2 2 2" xfId="11018"/>
    <cellStyle name="Comma 3 2 2 2 3 2 2 3" xfId="8208"/>
    <cellStyle name="Comma 3 2 2 2 3 2 3" xfId="3981"/>
    <cellStyle name="Comma 3 2 2 2 3 2 3 2" xfId="9617"/>
    <cellStyle name="Comma 3 2 2 2 3 2 4" xfId="6807"/>
    <cellStyle name="Comma 3 2 2 2 3 3" xfId="1876"/>
    <cellStyle name="Comma 3 2 2 2 3 3 2" xfId="4686"/>
    <cellStyle name="Comma 3 2 2 2 3 3 2 2" xfId="10322"/>
    <cellStyle name="Comma 3 2 2 2 3 3 3" xfId="7512"/>
    <cellStyle name="Comma 3 2 2 2 3 4" xfId="3285"/>
    <cellStyle name="Comma 3 2 2 2 3 4 2" xfId="8921"/>
    <cellStyle name="Comma 3 2 2 2 3 5" xfId="6111"/>
    <cellStyle name="Comma 3 2 2 2 4" xfId="827"/>
    <cellStyle name="Comma 3 2 2 2 4 2" xfId="2228"/>
    <cellStyle name="Comma 3 2 2 2 4 2 2" xfId="5038"/>
    <cellStyle name="Comma 3 2 2 2 4 2 2 2" xfId="10674"/>
    <cellStyle name="Comma 3 2 2 2 4 2 3" xfId="7864"/>
    <cellStyle name="Comma 3 2 2 2 4 3" xfId="3637"/>
    <cellStyle name="Comma 3 2 2 2 4 3 2" xfId="9273"/>
    <cellStyle name="Comma 3 2 2 2 4 4" xfId="6463"/>
    <cellStyle name="Comma 3 2 2 2 5" xfId="1532"/>
    <cellStyle name="Comma 3 2 2 2 5 2" xfId="4342"/>
    <cellStyle name="Comma 3 2 2 2 5 2 2" xfId="9978"/>
    <cellStyle name="Comma 3 2 2 2 5 3" xfId="7168"/>
    <cellStyle name="Comma 3 2 2 2 6" xfId="2941"/>
    <cellStyle name="Comma 3 2 2 2 6 2" xfId="8577"/>
    <cellStyle name="Comma 3 2 2 2 7" xfId="5767"/>
    <cellStyle name="Comma 3 2 2 3" xfId="223"/>
    <cellStyle name="Comma 3 2 2 3 2" xfId="567"/>
    <cellStyle name="Comma 3 2 2 3 2 2" xfId="1263"/>
    <cellStyle name="Comma 3 2 2 3 2 2 2" xfId="2664"/>
    <cellStyle name="Comma 3 2 2 3 2 2 2 2" xfId="5474"/>
    <cellStyle name="Comma 3 2 2 3 2 2 2 2 2" xfId="11110"/>
    <cellStyle name="Comma 3 2 2 3 2 2 2 3" xfId="8300"/>
    <cellStyle name="Comma 3 2 2 3 2 2 3" xfId="4073"/>
    <cellStyle name="Comma 3 2 2 3 2 2 3 2" xfId="9709"/>
    <cellStyle name="Comma 3 2 2 3 2 2 4" xfId="6899"/>
    <cellStyle name="Comma 3 2 2 3 2 3" xfId="1968"/>
    <cellStyle name="Comma 3 2 2 3 2 3 2" xfId="4778"/>
    <cellStyle name="Comma 3 2 2 3 2 3 2 2" xfId="10414"/>
    <cellStyle name="Comma 3 2 2 3 2 3 3" xfId="7604"/>
    <cellStyle name="Comma 3 2 2 3 2 4" xfId="3377"/>
    <cellStyle name="Comma 3 2 2 3 2 4 2" xfId="9013"/>
    <cellStyle name="Comma 3 2 2 3 2 5" xfId="6203"/>
    <cellStyle name="Comma 3 2 2 3 3" xfId="919"/>
    <cellStyle name="Comma 3 2 2 3 3 2" xfId="2320"/>
    <cellStyle name="Comma 3 2 2 3 3 2 2" xfId="5130"/>
    <cellStyle name="Comma 3 2 2 3 3 2 2 2" xfId="10766"/>
    <cellStyle name="Comma 3 2 2 3 3 2 3" xfId="7956"/>
    <cellStyle name="Comma 3 2 2 3 3 3" xfId="3729"/>
    <cellStyle name="Comma 3 2 2 3 3 3 2" xfId="9365"/>
    <cellStyle name="Comma 3 2 2 3 3 4" xfId="6555"/>
    <cellStyle name="Comma 3 2 2 3 4" xfId="1624"/>
    <cellStyle name="Comma 3 2 2 3 4 2" xfId="4434"/>
    <cellStyle name="Comma 3 2 2 3 4 2 2" xfId="10070"/>
    <cellStyle name="Comma 3 2 2 3 4 3" xfId="7260"/>
    <cellStyle name="Comma 3 2 2 3 5" xfId="3033"/>
    <cellStyle name="Comma 3 2 2 3 5 2" xfId="8669"/>
    <cellStyle name="Comma 3 2 2 3 6" xfId="5859"/>
    <cellStyle name="Comma 3 2 2 4" xfId="395"/>
    <cellStyle name="Comma 3 2 2 4 2" xfId="1091"/>
    <cellStyle name="Comma 3 2 2 4 2 2" xfId="2492"/>
    <cellStyle name="Comma 3 2 2 4 2 2 2" xfId="5302"/>
    <cellStyle name="Comma 3 2 2 4 2 2 2 2" xfId="10938"/>
    <cellStyle name="Comma 3 2 2 4 2 2 3" xfId="8128"/>
    <cellStyle name="Comma 3 2 2 4 2 3" xfId="3901"/>
    <cellStyle name="Comma 3 2 2 4 2 3 2" xfId="9537"/>
    <cellStyle name="Comma 3 2 2 4 2 4" xfId="6727"/>
    <cellStyle name="Comma 3 2 2 4 3" xfId="1796"/>
    <cellStyle name="Comma 3 2 2 4 3 2" xfId="4606"/>
    <cellStyle name="Comma 3 2 2 4 3 2 2" xfId="10242"/>
    <cellStyle name="Comma 3 2 2 4 3 3" xfId="7432"/>
    <cellStyle name="Comma 3 2 2 4 4" xfId="3205"/>
    <cellStyle name="Comma 3 2 2 4 4 2" xfId="8841"/>
    <cellStyle name="Comma 3 2 2 4 5" xfId="6031"/>
    <cellStyle name="Comma 3 2 2 5" xfId="747"/>
    <cellStyle name="Comma 3 2 2 5 2" xfId="2148"/>
    <cellStyle name="Comma 3 2 2 5 2 2" xfId="4958"/>
    <cellStyle name="Comma 3 2 2 5 2 2 2" xfId="10594"/>
    <cellStyle name="Comma 3 2 2 5 2 3" xfId="7784"/>
    <cellStyle name="Comma 3 2 2 5 3" xfId="3557"/>
    <cellStyle name="Comma 3 2 2 5 3 2" xfId="9193"/>
    <cellStyle name="Comma 3 2 2 5 4" xfId="6383"/>
    <cellStyle name="Comma 3 2 2 6" xfId="1452"/>
    <cellStyle name="Comma 3 2 2 6 2" xfId="4262"/>
    <cellStyle name="Comma 3 2 2 6 2 2" xfId="9898"/>
    <cellStyle name="Comma 3 2 2 6 3" xfId="7088"/>
    <cellStyle name="Comma 3 2 2 7" xfId="2861"/>
    <cellStyle name="Comma 3 2 2 7 2" xfId="8497"/>
    <cellStyle name="Comma 3 2 2 8" xfId="5687"/>
    <cellStyle name="Comma 3 2 3" xfId="99"/>
    <cellStyle name="Comma 3 2 3 2" xfId="271"/>
    <cellStyle name="Comma 3 2 3 2 2" xfId="615"/>
    <cellStyle name="Comma 3 2 3 2 2 2" xfId="1311"/>
    <cellStyle name="Comma 3 2 3 2 2 2 2" xfId="2712"/>
    <cellStyle name="Comma 3 2 3 2 2 2 2 2" xfId="5522"/>
    <cellStyle name="Comma 3 2 3 2 2 2 2 2 2" xfId="11158"/>
    <cellStyle name="Comma 3 2 3 2 2 2 2 3" xfId="8348"/>
    <cellStyle name="Comma 3 2 3 2 2 2 3" xfId="4121"/>
    <cellStyle name="Comma 3 2 3 2 2 2 3 2" xfId="9757"/>
    <cellStyle name="Comma 3 2 3 2 2 2 4" xfId="6947"/>
    <cellStyle name="Comma 3 2 3 2 2 3" xfId="2016"/>
    <cellStyle name="Comma 3 2 3 2 2 3 2" xfId="4826"/>
    <cellStyle name="Comma 3 2 3 2 2 3 2 2" xfId="10462"/>
    <cellStyle name="Comma 3 2 3 2 2 3 3" xfId="7652"/>
    <cellStyle name="Comma 3 2 3 2 2 4" xfId="3425"/>
    <cellStyle name="Comma 3 2 3 2 2 4 2" xfId="9061"/>
    <cellStyle name="Comma 3 2 3 2 2 5" xfId="6251"/>
    <cellStyle name="Comma 3 2 3 2 3" xfId="967"/>
    <cellStyle name="Comma 3 2 3 2 3 2" xfId="2368"/>
    <cellStyle name="Comma 3 2 3 2 3 2 2" xfId="5178"/>
    <cellStyle name="Comma 3 2 3 2 3 2 2 2" xfId="10814"/>
    <cellStyle name="Comma 3 2 3 2 3 2 3" xfId="8004"/>
    <cellStyle name="Comma 3 2 3 2 3 3" xfId="3777"/>
    <cellStyle name="Comma 3 2 3 2 3 3 2" xfId="9413"/>
    <cellStyle name="Comma 3 2 3 2 3 4" xfId="6603"/>
    <cellStyle name="Comma 3 2 3 2 4" xfId="1672"/>
    <cellStyle name="Comma 3 2 3 2 4 2" xfId="4482"/>
    <cellStyle name="Comma 3 2 3 2 4 2 2" xfId="10118"/>
    <cellStyle name="Comma 3 2 3 2 4 3" xfId="7308"/>
    <cellStyle name="Comma 3 2 3 2 5" xfId="3081"/>
    <cellStyle name="Comma 3 2 3 2 5 2" xfId="8717"/>
    <cellStyle name="Comma 3 2 3 2 6" xfId="5907"/>
    <cellStyle name="Comma 3 2 3 3" xfId="443"/>
    <cellStyle name="Comma 3 2 3 3 2" xfId="1139"/>
    <cellStyle name="Comma 3 2 3 3 2 2" xfId="2540"/>
    <cellStyle name="Comma 3 2 3 3 2 2 2" xfId="5350"/>
    <cellStyle name="Comma 3 2 3 3 2 2 2 2" xfId="10986"/>
    <cellStyle name="Comma 3 2 3 3 2 2 3" xfId="8176"/>
    <cellStyle name="Comma 3 2 3 3 2 3" xfId="3949"/>
    <cellStyle name="Comma 3 2 3 3 2 3 2" xfId="9585"/>
    <cellStyle name="Comma 3 2 3 3 2 4" xfId="6775"/>
    <cellStyle name="Comma 3 2 3 3 3" xfId="1844"/>
    <cellStyle name="Comma 3 2 3 3 3 2" xfId="4654"/>
    <cellStyle name="Comma 3 2 3 3 3 2 2" xfId="10290"/>
    <cellStyle name="Comma 3 2 3 3 3 3" xfId="7480"/>
    <cellStyle name="Comma 3 2 3 3 4" xfId="3253"/>
    <cellStyle name="Comma 3 2 3 3 4 2" xfId="8889"/>
    <cellStyle name="Comma 3 2 3 3 5" xfId="6079"/>
    <cellStyle name="Comma 3 2 3 4" xfId="795"/>
    <cellStyle name="Comma 3 2 3 4 2" xfId="2196"/>
    <cellStyle name="Comma 3 2 3 4 2 2" xfId="5006"/>
    <cellStyle name="Comma 3 2 3 4 2 2 2" xfId="10642"/>
    <cellStyle name="Comma 3 2 3 4 2 3" xfId="7832"/>
    <cellStyle name="Comma 3 2 3 4 3" xfId="3605"/>
    <cellStyle name="Comma 3 2 3 4 3 2" xfId="9241"/>
    <cellStyle name="Comma 3 2 3 4 4" xfId="6431"/>
    <cellStyle name="Comma 3 2 3 5" xfId="1500"/>
    <cellStyle name="Comma 3 2 3 5 2" xfId="4310"/>
    <cellStyle name="Comma 3 2 3 5 2 2" xfId="9946"/>
    <cellStyle name="Comma 3 2 3 5 3" xfId="7136"/>
    <cellStyle name="Comma 3 2 3 6" xfId="2909"/>
    <cellStyle name="Comma 3 2 3 6 2" xfId="8545"/>
    <cellStyle name="Comma 3 2 3 7" xfId="5735"/>
    <cellStyle name="Comma 3 2 4" xfId="191"/>
    <cellStyle name="Comma 3 2 4 2" xfId="535"/>
    <cellStyle name="Comma 3 2 4 2 2" xfId="1231"/>
    <cellStyle name="Comma 3 2 4 2 2 2" xfId="2632"/>
    <cellStyle name="Comma 3 2 4 2 2 2 2" xfId="5442"/>
    <cellStyle name="Comma 3 2 4 2 2 2 2 2" xfId="11078"/>
    <cellStyle name="Comma 3 2 4 2 2 2 3" xfId="8268"/>
    <cellStyle name="Comma 3 2 4 2 2 3" xfId="4041"/>
    <cellStyle name="Comma 3 2 4 2 2 3 2" xfId="9677"/>
    <cellStyle name="Comma 3 2 4 2 2 4" xfId="6867"/>
    <cellStyle name="Comma 3 2 4 2 3" xfId="1936"/>
    <cellStyle name="Comma 3 2 4 2 3 2" xfId="4746"/>
    <cellStyle name="Comma 3 2 4 2 3 2 2" xfId="10382"/>
    <cellStyle name="Comma 3 2 4 2 3 3" xfId="7572"/>
    <cellStyle name="Comma 3 2 4 2 4" xfId="3345"/>
    <cellStyle name="Comma 3 2 4 2 4 2" xfId="8981"/>
    <cellStyle name="Comma 3 2 4 2 5" xfId="6171"/>
    <cellStyle name="Comma 3 2 4 3" xfId="887"/>
    <cellStyle name="Comma 3 2 4 3 2" xfId="2288"/>
    <cellStyle name="Comma 3 2 4 3 2 2" xfId="5098"/>
    <cellStyle name="Comma 3 2 4 3 2 2 2" xfId="10734"/>
    <cellStyle name="Comma 3 2 4 3 2 3" xfId="7924"/>
    <cellStyle name="Comma 3 2 4 3 3" xfId="3697"/>
    <cellStyle name="Comma 3 2 4 3 3 2" xfId="9333"/>
    <cellStyle name="Comma 3 2 4 3 4" xfId="6523"/>
    <cellStyle name="Comma 3 2 4 4" xfId="1592"/>
    <cellStyle name="Comma 3 2 4 4 2" xfId="4402"/>
    <cellStyle name="Comma 3 2 4 4 2 2" xfId="10038"/>
    <cellStyle name="Comma 3 2 4 4 3" xfId="7228"/>
    <cellStyle name="Comma 3 2 4 5" xfId="3001"/>
    <cellStyle name="Comma 3 2 4 5 2" xfId="8637"/>
    <cellStyle name="Comma 3 2 4 6" xfId="5827"/>
    <cellStyle name="Comma 3 2 5" xfId="363"/>
    <cellStyle name="Comma 3 2 5 2" xfId="1059"/>
    <cellStyle name="Comma 3 2 5 2 2" xfId="2460"/>
    <cellStyle name="Comma 3 2 5 2 2 2" xfId="5270"/>
    <cellStyle name="Comma 3 2 5 2 2 2 2" xfId="10906"/>
    <cellStyle name="Comma 3 2 5 2 2 3" xfId="8096"/>
    <cellStyle name="Comma 3 2 5 2 3" xfId="3869"/>
    <cellStyle name="Comma 3 2 5 2 3 2" xfId="9505"/>
    <cellStyle name="Comma 3 2 5 2 4" xfId="6695"/>
    <cellStyle name="Comma 3 2 5 3" xfId="1764"/>
    <cellStyle name="Comma 3 2 5 3 2" xfId="4574"/>
    <cellStyle name="Comma 3 2 5 3 2 2" xfId="10210"/>
    <cellStyle name="Comma 3 2 5 3 3" xfId="7400"/>
    <cellStyle name="Comma 3 2 5 4" xfId="3173"/>
    <cellStyle name="Comma 3 2 5 4 2" xfId="8809"/>
    <cellStyle name="Comma 3 2 5 5" xfId="5999"/>
    <cellStyle name="Comma 3 2 6" xfId="715"/>
    <cellStyle name="Comma 3 2 6 2" xfId="2116"/>
    <cellStyle name="Comma 3 2 6 2 2" xfId="4926"/>
    <cellStyle name="Comma 3 2 6 2 2 2" xfId="10562"/>
    <cellStyle name="Comma 3 2 6 2 3" xfId="7752"/>
    <cellStyle name="Comma 3 2 6 3" xfId="3525"/>
    <cellStyle name="Comma 3 2 6 3 2" xfId="9161"/>
    <cellStyle name="Comma 3 2 6 4" xfId="6351"/>
    <cellStyle name="Comma 3 2 7" xfId="1420"/>
    <cellStyle name="Comma 3 2 7 2" xfId="4230"/>
    <cellStyle name="Comma 3 2 7 2 2" xfId="9866"/>
    <cellStyle name="Comma 3 2 7 3" xfId="7056"/>
    <cellStyle name="Comma 3 2 8" xfId="2829"/>
    <cellStyle name="Comma 3 2 8 2" xfId="8465"/>
    <cellStyle name="Comma 3 2 9" xfId="5655"/>
    <cellStyle name="Comma 3 3" xfId="39"/>
    <cellStyle name="Comma 3 3 2" xfId="119"/>
    <cellStyle name="Comma 3 3 2 2" xfId="291"/>
    <cellStyle name="Comma 3 3 2 2 2" xfId="635"/>
    <cellStyle name="Comma 3 3 2 2 2 2" xfId="1331"/>
    <cellStyle name="Comma 3 3 2 2 2 2 2" xfId="2732"/>
    <cellStyle name="Comma 3 3 2 2 2 2 2 2" xfId="5542"/>
    <cellStyle name="Comma 3 3 2 2 2 2 2 2 2" xfId="11178"/>
    <cellStyle name="Comma 3 3 2 2 2 2 2 3" xfId="8368"/>
    <cellStyle name="Comma 3 3 2 2 2 2 3" xfId="4141"/>
    <cellStyle name="Comma 3 3 2 2 2 2 3 2" xfId="9777"/>
    <cellStyle name="Comma 3 3 2 2 2 2 4" xfId="6967"/>
    <cellStyle name="Comma 3 3 2 2 2 3" xfId="2036"/>
    <cellStyle name="Comma 3 3 2 2 2 3 2" xfId="4846"/>
    <cellStyle name="Comma 3 3 2 2 2 3 2 2" xfId="10482"/>
    <cellStyle name="Comma 3 3 2 2 2 3 3" xfId="7672"/>
    <cellStyle name="Comma 3 3 2 2 2 4" xfId="3445"/>
    <cellStyle name="Comma 3 3 2 2 2 4 2" xfId="9081"/>
    <cellStyle name="Comma 3 3 2 2 2 5" xfId="6271"/>
    <cellStyle name="Comma 3 3 2 2 3" xfId="987"/>
    <cellStyle name="Comma 3 3 2 2 3 2" xfId="2388"/>
    <cellStyle name="Comma 3 3 2 2 3 2 2" xfId="5198"/>
    <cellStyle name="Comma 3 3 2 2 3 2 2 2" xfId="10834"/>
    <cellStyle name="Comma 3 3 2 2 3 2 3" xfId="8024"/>
    <cellStyle name="Comma 3 3 2 2 3 3" xfId="3797"/>
    <cellStyle name="Comma 3 3 2 2 3 3 2" xfId="9433"/>
    <cellStyle name="Comma 3 3 2 2 3 4" xfId="6623"/>
    <cellStyle name="Comma 3 3 2 2 4" xfId="1692"/>
    <cellStyle name="Comma 3 3 2 2 4 2" xfId="4502"/>
    <cellStyle name="Comma 3 3 2 2 4 2 2" xfId="10138"/>
    <cellStyle name="Comma 3 3 2 2 4 3" xfId="7328"/>
    <cellStyle name="Comma 3 3 2 2 5" xfId="3101"/>
    <cellStyle name="Comma 3 3 2 2 5 2" xfId="8737"/>
    <cellStyle name="Comma 3 3 2 2 6" xfId="5927"/>
    <cellStyle name="Comma 3 3 2 3" xfId="463"/>
    <cellStyle name="Comma 3 3 2 3 2" xfId="1159"/>
    <cellStyle name="Comma 3 3 2 3 2 2" xfId="2560"/>
    <cellStyle name="Comma 3 3 2 3 2 2 2" xfId="5370"/>
    <cellStyle name="Comma 3 3 2 3 2 2 2 2" xfId="11006"/>
    <cellStyle name="Comma 3 3 2 3 2 2 3" xfId="8196"/>
    <cellStyle name="Comma 3 3 2 3 2 3" xfId="3969"/>
    <cellStyle name="Comma 3 3 2 3 2 3 2" xfId="9605"/>
    <cellStyle name="Comma 3 3 2 3 2 4" xfId="6795"/>
    <cellStyle name="Comma 3 3 2 3 3" xfId="1864"/>
    <cellStyle name="Comma 3 3 2 3 3 2" xfId="4674"/>
    <cellStyle name="Comma 3 3 2 3 3 2 2" xfId="10310"/>
    <cellStyle name="Comma 3 3 2 3 3 3" xfId="7500"/>
    <cellStyle name="Comma 3 3 2 3 4" xfId="3273"/>
    <cellStyle name="Comma 3 3 2 3 4 2" xfId="8909"/>
    <cellStyle name="Comma 3 3 2 3 5" xfId="6099"/>
    <cellStyle name="Comma 3 3 2 4" xfId="815"/>
    <cellStyle name="Comma 3 3 2 4 2" xfId="2216"/>
    <cellStyle name="Comma 3 3 2 4 2 2" xfId="5026"/>
    <cellStyle name="Comma 3 3 2 4 2 2 2" xfId="10662"/>
    <cellStyle name="Comma 3 3 2 4 2 3" xfId="7852"/>
    <cellStyle name="Comma 3 3 2 4 3" xfId="3625"/>
    <cellStyle name="Comma 3 3 2 4 3 2" xfId="9261"/>
    <cellStyle name="Comma 3 3 2 4 4" xfId="6451"/>
    <cellStyle name="Comma 3 3 2 5" xfId="1520"/>
    <cellStyle name="Comma 3 3 2 5 2" xfId="4330"/>
    <cellStyle name="Comma 3 3 2 5 2 2" xfId="9966"/>
    <cellStyle name="Comma 3 3 2 5 3" xfId="7156"/>
    <cellStyle name="Comma 3 3 2 6" xfId="2929"/>
    <cellStyle name="Comma 3 3 2 6 2" xfId="8565"/>
    <cellStyle name="Comma 3 3 2 7" xfId="5755"/>
    <cellStyle name="Comma 3 3 3" xfId="211"/>
    <cellStyle name="Comma 3 3 3 2" xfId="555"/>
    <cellStyle name="Comma 3 3 3 2 2" xfId="1251"/>
    <cellStyle name="Comma 3 3 3 2 2 2" xfId="2652"/>
    <cellStyle name="Comma 3 3 3 2 2 2 2" xfId="5462"/>
    <cellStyle name="Comma 3 3 3 2 2 2 2 2" xfId="11098"/>
    <cellStyle name="Comma 3 3 3 2 2 2 3" xfId="8288"/>
    <cellStyle name="Comma 3 3 3 2 2 3" xfId="4061"/>
    <cellStyle name="Comma 3 3 3 2 2 3 2" xfId="9697"/>
    <cellStyle name="Comma 3 3 3 2 2 4" xfId="6887"/>
    <cellStyle name="Comma 3 3 3 2 3" xfId="1956"/>
    <cellStyle name="Comma 3 3 3 2 3 2" xfId="4766"/>
    <cellStyle name="Comma 3 3 3 2 3 2 2" xfId="10402"/>
    <cellStyle name="Comma 3 3 3 2 3 3" xfId="7592"/>
    <cellStyle name="Comma 3 3 3 2 4" xfId="3365"/>
    <cellStyle name="Comma 3 3 3 2 4 2" xfId="9001"/>
    <cellStyle name="Comma 3 3 3 2 5" xfId="6191"/>
    <cellStyle name="Comma 3 3 3 3" xfId="907"/>
    <cellStyle name="Comma 3 3 3 3 2" xfId="2308"/>
    <cellStyle name="Comma 3 3 3 3 2 2" xfId="5118"/>
    <cellStyle name="Comma 3 3 3 3 2 2 2" xfId="10754"/>
    <cellStyle name="Comma 3 3 3 3 2 3" xfId="7944"/>
    <cellStyle name="Comma 3 3 3 3 3" xfId="3717"/>
    <cellStyle name="Comma 3 3 3 3 3 2" xfId="9353"/>
    <cellStyle name="Comma 3 3 3 3 4" xfId="6543"/>
    <cellStyle name="Comma 3 3 3 4" xfId="1612"/>
    <cellStyle name="Comma 3 3 3 4 2" xfId="4422"/>
    <cellStyle name="Comma 3 3 3 4 2 2" xfId="10058"/>
    <cellStyle name="Comma 3 3 3 4 3" xfId="7248"/>
    <cellStyle name="Comma 3 3 3 5" xfId="3021"/>
    <cellStyle name="Comma 3 3 3 5 2" xfId="8657"/>
    <cellStyle name="Comma 3 3 3 6" xfId="5847"/>
    <cellStyle name="Comma 3 3 4" xfId="383"/>
    <cellStyle name="Comma 3 3 4 2" xfId="1079"/>
    <cellStyle name="Comma 3 3 4 2 2" xfId="2480"/>
    <cellStyle name="Comma 3 3 4 2 2 2" xfId="5290"/>
    <cellStyle name="Comma 3 3 4 2 2 2 2" xfId="10926"/>
    <cellStyle name="Comma 3 3 4 2 2 3" xfId="8116"/>
    <cellStyle name="Comma 3 3 4 2 3" xfId="3889"/>
    <cellStyle name="Comma 3 3 4 2 3 2" xfId="9525"/>
    <cellStyle name="Comma 3 3 4 2 4" xfId="6715"/>
    <cellStyle name="Comma 3 3 4 3" xfId="1784"/>
    <cellStyle name="Comma 3 3 4 3 2" xfId="4594"/>
    <cellStyle name="Comma 3 3 4 3 2 2" xfId="10230"/>
    <cellStyle name="Comma 3 3 4 3 3" xfId="7420"/>
    <cellStyle name="Comma 3 3 4 4" xfId="3193"/>
    <cellStyle name="Comma 3 3 4 4 2" xfId="8829"/>
    <cellStyle name="Comma 3 3 4 5" xfId="6019"/>
    <cellStyle name="Comma 3 3 5" xfId="735"/>
    <cellStyle name="Comma 3 3 5 2" xfId="2136"/>
    <cellStyle name="Comma 3 3 5 2 2" xfId="4946"/>
    <cellStyle name="Comma 3 3 5 2 2 2" xfId="10582"/>
    <cellStyle name="Comma 3 3 5 2 3" xfId="7772"/>
    <cellStyle name="Comma 3 3 5 3" xfId="3545"/>
    <cellStyle name="Comma 3 3 5 3 2" xfId="9181"/>
    <cellStyle name="Comma 3 3 5 4" xfId="6371"/>
    <cellStyle name="Comma 3 3 6" xfId="1440"/>
    <cellStyle name="Comma 3 3 6 2" xfId="4250"/>
    <cellStyle name="Comma 3 3 6 2 2" xfId="9886"/>
    <cellStyle name="Comma 3 3 6 3" xfId="7076"/>
    <cellStyle name="Comma 3 3 7" xfId="2849"/>
    <cellStyle name="Comma 3 3 7 2" xfId="8485"/>
    <cellStyle name="Comma 3 3 8" xfId="5675"/>
    <cellStyle name="Comma 3 4" xfId="87"/>
    <cellStyle name="Comma 3 4 2" xfId="259"/>
    <cellStyle name="Comma 3 4 2 2" xfId="603"/>
    <cellStyle name="Comma 3 4 2 2 2" xfId="1299"/>
    <cellStyle name="Comma 3 4 2 2 2 2" xfId="2700"/>
    <cellStyle name="Comma 3 4 2 2 2 2 2" xfId="5510"/>
    <cellStyle name="Comma 3 4 2 2 2 2 2 2" xfId="11146"/>
    <cellStyle name="Comma 3 4 2 2 2 2 3" xfId="8336"/>
    <cellStyle name="Comma 3 4 2 2 2 3" xfId="4109"/>
    <cellStyle name="Comma 3 4 2 2 2 3 2" xfId="9745"/>
    <cellStyle name="Comma 3 4 2 2 2 4" xfId="6935"/>
    <cellStyle name="Comma 3 4 2 2 3" xfId="2004"/>
    <cellStyle name="Comma 3 4 2 2 3 2" xfId="4814"/>
    <cellStyle name="Comma 3 4 2 2 3 2 2" xfId="10450"/>
    <cellStyle name="Comma 3 4 2 2 3 3" xfId="7640"/>
    <cellStyle name="Comma 3 4 2 2 4" xfId="3413"/>
    <cellStyle name="Comma 3 4 2 2 4 2" xfId="9049"/>
    <cellStyle name="Comma 3 4 2 2 5" xfId="6239"/>
    <cellStyle name="Comma 3 4 2 3" xfId="955"/>
    <cellStyle name="Comma 3 4 2 3 2" xfId="2356"/>
    <cellStyle name="Comma 3 4 2 3 2 2" xfId="5166"/>
    <cellStyle name="Comma 3 4 2 3 2 2 2" xfId="10802"/>
    <cellStyle name="Comma 3 4 2 3 2 3" xfId="7992"/>
    <cellStyle name="Comma 3 4 2 3 3" xfId="3765"/>
    <cellStyle name="Comma 3 4 2 3 3 2" xfId="9401"/>
    <cellStyle name="Comma 3 4 2 3 4" xfId="6591"/>
    <cellStyle name="Comma 3 4 2 4" xfId="1660"/>
    <cellStyle name="Comma 3 4 2 4 2" xfId="4470"/>
    <cellStyle name="Comma 3 4 2 4 2 2" xfId="10106"/>
    <cellStyle name="Comma 3 4 2 4 3" xfId="7296"/>
    <cellStyle name="Comma 3 4 2 5" xfId="3069"/>
    <cellStyle name="Comma 3 4 2 5 2" xfId="8705"/>
    <cellStyle name="Comma 3 4 2 6" xfId="5895"/>
    <cellStyle name="Comma 3 4 3" xfId="431"/>
    <cellStyle name="Comma 3 4 3 2" xfId="1127"/>
    <cellStyle name="Comma 3 4 3 2 2" xfId="2528"/>
    <cellStyle name="Comma 3 4 3 2 2 2" xfId="5338"/>
    <cellStyle name="Comma 3 4 3 2 2 2 2" xfId="10974"/>
    <cellStyle name="Comma 3 4 3 2 2 3" xfId="8164"/>
    <cellStyle name="Comma 3 4 3 2 3" xfId="3937"/>
    <cellStyle name="Comma 3 4 3 2 3 2" xfId="9573"/>
    <cellStyle name="Comma 3 4 3 2 4" xfId="6763"/>
    <cellStyle name="Comma 3 4 3 3" xfId="1832"/>
    <cellStyle name="Comma 3 4 3 3 2" xfId="4642"/>
    <cellStyle name="Comma 3 4 3 3 2 2" xfId="10278"/>
    <cellStyle name="Comma 3 4 3 3 3" xfId="7468"/>
    <cellStyle name="Comma 3 4 3 4" xfId="3241"/>
    <cellStyle name="Comma 3 4 3 4 2" xfId="8877"/>
    <cellStyle name="Comma 3 4 3 5" xfId="6067"/>
    <cellStyle name="Comma 3 4 4" xfId="783"/>
    <cellStyle name="Comma 3 4 4 2" xfId="2184"/>
    <cellStyle name="Comma 3 4 4 2 2" xfId="4994"/>
    <cellStyle name="Comma 3 4 4 2 2 2" xfId="10630"/>
    <cellStyle name="Comma 3 4 4 2 3" xfId="7820"/>
    <cellStyle name="Comma 3 4 4 3" xfId="3593"/>
    <cellStyle name="Comma 3 4 4 3 2" xfId="9229"/>
    <cellStyle name="Comma 3 4 4 4" xfId="6419"/>
    <cellStyle name="Comma 3 4 5" xfId="1488"/>
    <cellStyle name="Comma 3 4 5 2" xfId="4298"/>
    <cellStyle name="Comma 3 4 5 2 2" xfId="9934"/>
    <cellStyle name="Comma 3 4 5 3" xfId="7124"/>
    <cellStyle name="Comma 3 4 6" xfId="2897"/>
    <cellStyle name="Comma 3 4 6 2" xfId="8533"/>
    <cellStyle name="Comma 3 4 7" xfId="5723"/>
    <cellStyle name="Comma 3 5" xfId="179"/>
    <cellStyle name="Comma 3 5 2" xfId="523"/>
    <cellStyle name="Comma 3 5 2 2" xfId="1219"/>
    <cellStyle name="Comma 3 5 2 2 2" xfId="2620"/>
    <cellStyle name="Comma 3 5 2 2 2 2" xfId="5430"/>
    <cellStyle name="Comma 3 5 2 2 2 2 2" xfId="11066"/>
    <cellStyle name="Comma 3 5 2 2 2 3" xfId="8256"/>
    <cellStyle name="Comma 3 5 2 2 3" xfId="4029"/>
    <cellStyle name="Comma 3 5 2 2 3 2" xfId="9665"/>
    <cellStyle name="Comma 3 5 2 2 4" xfId="6855"/>
    <cellStyle name="Comma 3 5 2 3" xfId="1924"/>
    <cellStyle name="Comma 3 5 2 3 2" xfId="4734"/>
    <cellStyle name="Comma 3 5 2 3 2 2" xfId="10370"/>
    <cellStyle name="Comma 3 5 2 3 3" xfId="7560"/>
    <cellStyle name="Comma 3 5 2 4" xfId="3333"/>
    <cellStyle name="Comma 3 5 2 4 2" xfId="8969"/>
    <cellStyle name="Comma 3 5 2 5" xfId="6159"/>
    <cellStyle name="Comma 3 5 3" xfId="875"/>
    <cellStyle name="Comma 3 5 3 2" xfId="2276"/>
    <cellStyle name="Comma 3 5 3 2 2" xfId="5086"/>
    <cellStyle name="Comma 3 5 3 2 2 2" xfId="10722"/>
    <cellStyle name="Comma 3 5 3 2 3" xfId="7912"/>
    <cellStyle name="Comma 3 5 3 3" xfId="3685"/>
    <cellStyle name="Comma 3 5 3 3 2" xfId="9321"/>
    <cellStyle name="Comma 3 5 3 4" xfId="6511"/>
    <cellStyle name="Comma 3 5 4" xfId="1580"/>
    <cellStyle name="Comma 3 5 4 2" xfId="4390"/>
    <cellStyle name="Comma 3 5 4 2 2" xfId="10026"/>
    <cellStyle name="Comma 3 5 4 3" xfId="7216"/>
    <cellStyle name="Comma 3 5 5" xfId="2989"/>
    <cellStyle name="Comma 3 5 5 2" xfId="8625"/>
    <cellStyle name="Comma 3 5 6" xfId="5815"/>
    <cellStyle name="Comma 3 6" xfId="351"/>
    <cellStyle name="Comma 3 6 2" xfId="1047"/>
    <cellStyle name="Comma 3 6 2 2" xfId="2448"/>
    <cellStyle name="Comma 3 6 2 2 2" xfId="5258"/>
    <cellStyle name="Comma 3 6 2 2 2 2" xfId="10894"/>
    <cellStyle name="Comma 3 6 2 2 3" xfId="8084"/>
    <cellStyle name="Comma 3 6 2 3" xfId="3857"/>
    <cellStyle name="Comma 3 6 2 3 2" xfId="9493"/>
    <cellStyle name="Comma 3 6 2 4" xfId="6683"/>
    <cellStyle name="Comma 3 6 3" xfId="1752"/>
    <cellStyle name="Comma 3 6 3 2" xfId="4562"/>
    <cellStyle name="Comma 3 6 3 2 2" xfId="10198"/>
    <cellStyle name="Comma 3 6 3 3" xfId="7388"/>
    <cellStyle name="Comma 3 6 4" xfId="3161"/>
    <cellStyle name="Comma 3 6 4 2" xfId="8797"/>
    <cellStyle name="Comma 3 6 5" xfId="5987"/>
    <cellStyle name="Comma 3 7" xfId="703"/>
    <cellStyle name="Comma 3 7 2" xfId="2104"/>
    <cellStyle name="Comma 3 7 2 2" xfId="4914"/>
    <cellStyle name="Comma 3 7 2 2 2" xfId="10550"/>
    <cellStyle name="Comma 3 7 2 3" xfId="7740"/>
    <cellStyle name="Comma 3 7 3" xfId="3513"/>
    <cellStyle name="Comma 3 7 3 2" xfId="9149"/>
    <cellStyle name="Comma 3 7 4" xfId="6339"/>
    <cellStyle name="Comma 3 8" xfId="1408"/>
    <cellStyle name="Comma 3 8 2" xfId="4218"/>
    <cellStyle name="Comma 3 8 2 2" xfId="9854"/>
    <cellStyle name="Comma 3 8 3" xfId="7044"/>
    <cellStyle name="Comma 3 9" xfId="2817"/>
    <cellStyle name="Comma 3 9 2" xfId="8453"/>
    <cellStyle name="Comma 30" xfId="697"/>
    <cellStyle name="Comma 30 2" xfId="2098"/>
    <cellStyle name="Comma 30 2 2" xfId="4908"/>
    <cellStyle name="Comma 30 2 2 2" xfId="10544"/>
    <cellStyle name="Comma 30 2 3" xfId="7734"/>
    <cellStyle name="Comma 30 3" xfId="3507"/>
    <cellStyle name="Comma 30 3 2" xfId="9143"/>
    <cellStyle name="Comma 30 4" xfId="6333"/>
    <cellStyle name="Comma 31" xfId="1392"/>
    <cellStyle name="Comma 31 2" xfId="2793"/>
    <cellStyle name="Comma 31 2 2" xfId="5603"/>
    <cellStyle name="Comma 31 2 2 2" xfId="11239"/>
    <cellStyle name="Comma 31 2 3" xfId="8429"/>
    <cellStyle name="Comma 31 3" xfId="4202"/>
    <cellStyle name="Comma 31 3 2" xfId="9838"/>
    <cellStyle name="Comma 31 4" xfId="7028"/>
    <cellStyle name="Comma 32" xfId="1396"/>
    <cellStyle name="Comma 32 2" xfId="2797"/>
    <cellStyle name="Comma 32 2 2" xfId="5607"/>
    <cellStyle name="Comma 32 2 2 2" xfId="11243"/>
    <cellStyle name="Comma 32 2 3" xfId="8433"/>
    <cellStyle name="Comma 32 3" xfId="4206"/>
    <cellStyle name="Comma 32 3 2" xfId="9842"/>
    <cellStyle name="Comma 32 4" xfId="7032"/>
    <cellStyle name="Comma 33" xfId="1398"/>
    <cellStyle name="Comma 33 2" xfId="2799"/>
    <cellStyle name="Comma 33 2 2" xfId="5609"/>
    <cellStyle name="Comma 33 2 2 2" xfId="11245"/>
    <cellStyle name="Comma 33 2 3" xfId="8435"/>
    <cellStyle name="Comma 33 3" xfId="4208"/>
    <cellStyle name="Comma 33 3 2" xfId="9844"/>
    <cellStyle name="Comma 33 4" xfId="7034"/>
    <cellStyle name="Comma 34" xfId="1400"/>
    <cellStyle name="Comma 34 2" xfId="2801"/>
    <cellStyle name="Comma 34 2 2" xfId="5611"/>
    <cellStyle name="Comma 34 2 2 2" xfId="11247"/>
    <cellStyle name="Comma 34 2 3" xfId="8437"/>
    <cellStyle name="Comma 34 3" xfId="4210"/>
    <cellStyle name="Comma 34 3 2" xfId="9846"/>
    <cellStyle name="Comma 34 4" xfId="7036"/>
    <cellStyle name="Comma 35" xfId="1402"/>
    <cellStyle name="Comma 35 2" xfId="4212"/>
    <cellStyle name="Comma 35 2 2" xfId="9848"/>
    <cellStyle name="Comma 35 3" xfId="7038"/>
    <cellStyle name="Comma 36" xfId="2802"/>
    <cellStyle name="Comma 36 2" xfId="5612"/>
    <cellStyle name="Comma 36 2 2" xfId="11248"/>
    <cellStyle name="Comma 36 3" xfId="8438"/>
    <cellStyle name="Comma 37" xfId="2806"/>
    <cellStyle name="Comma 37 2" xfId="5616"/>
    <cellStyle name="Comma 37 2 2" xfId="11252"/>
    <cellStyle name="Comma 37 3" xfId="8442"/>
    <cellStyle name="Comma 38" xfId="2808"/>
    <cellStyle name="Comma 38 2" xfId="5618"/>
    <cellStyle name="Comma 38 2 2" xfId="11254"/>
    <cellStyle name="Comma 38 3" xfId="8444"/>
    <cellStyle name="Comma 39" xfId="2810"/>
    <cellStyle name="Comma 39 2" xfId="5620"/>
    <cellStyle name="Comma 39 2 2" xfId="11256"/>
    <cellStyle name="Comma 39 3" xfId="8446"/>
    <cellStyle name="Comma 4" xfId="9"/>
    <cellStyle name="Comma 4 10" xfId="5645"/>
    <cellStyle name="Comma 4 2" xfId="21"/>
    <cellStyle name="Comma 4 2 2" xfId="53"/>
    <cellStyle name="Comma 4 2 2 2" xfId="133"/>
    <cellStyle name="Comma 4 2 2 2 2" xfId="305"/>
    <cellStyle name="Comma 4 2 2 2 2 2" xfId="649"/>
    <cellStyle name="Comma 4 2 2 2 2 2 2" xfId="1345"/>
    <cellStyle name="Comma 4 2 2 2 2 2 2 2" xfId="2746"/>
    <cellStyle name="Comma 4 2 2 2 2 2 2 2 2" xfId="5556"/>
    <cellStyle name="Comma 4 2 2 2 2 2 2 2 2 2" xfId="11192"/>
    <cellStyle name="Comma 4 2 2 2 2 2 2 2 3" xfId="8382"/>
    <cellStyle name="Comma 4 2 2 2 2 2 2 3" xfId="4155"/>
    <cellStyle name="Comma 4 2 2 2 2 2 2 3 2" xfId="9791"/>
    <cellStyle name="Comma 4 2 2 2 2 2 2 4" xfId="6981"/>
    <cellStyle name="Comma 4 2 2 2 2 2 3" xfId="2050"/>
    <cellStyle name="Comma 4 2 2 2 2 2 3 2" xfId="4860"/>
    <cellStyle name="Comma 4 2 2 2 2 2 3 2 2" xfId="10496"/>
    <cellStyle name="Comma 4 2 2 2 2 2 3 3" xfId="7686"/>
    <cellStyle name="Comma 4 2 2 2 2 2 4" xfId="3459"/>
    <cellStyle name="Comma 4 2 2 2 2 2 4 2" xfId="9095"/>
    <cellStyle name="Comma 4 2 2 2 2 2 5" xfId="6285"/>
    <cellStyle name="Comma 4 2 2 2 2 3" xfId="1001"/>
    <cellStyle name="Comma 4 2 2 2 2 3 2" xfId="2402"/>
    <cellStyle name="Comma 4 2 2 2 2 3 2 2" xfId="5212"/>
    <cellStyle name="Comma 4 2 2 2 2 3 2 2 2" xfId="10848"/>
    <cellStyle name="Comma 4 2 2 2 2 3 2 3" xfId="8038"/>
    <cellStyle name="Comma 4 2 2 2 2 3 3" xfId="3811"/>
    <cellStyle name="Comma 4 2 2 2 2 3 3 2" xfId="9447"/>
    <cellStyle name="Comma 4 2 2 2 2 3 4" xfId="6637"/>
    <cellStyle name="Comma 4 2 2 2 2 4" xfId="1706"/>
    <cellStyle name="Comma 4 2 2 2 2 4 2" xfId="4516"/>
    <cellStyle name="Comma 4 2 2 2 2 4 2 2" xfId="10152"/>
    <cellStyle name="Comma 4 2 2 2 2 4 3" xfId="7342"/>
    <cellStyle name="Comma 4 2 2 2 2 5" xfId="3115"/>
    <cellStyle name="Comma 4 2 2 2 2 5 2" xfId="8751"/>
    <cellStyle name="Comma 4 2 2 2 2 6" xfId="5941"/>
    <cellStyle name="Comma 4 2 2 2 3" xfId="477"/>
    <cellStyle name="Comma 4 2 2 2 3 2" xfId="1173"/>
    <cellStyle name="Comma 4 2 2 2 3 2 2" xfId="2574"/>
    <cellStyle name="Comma 4 2 2 2 3 2 2 2" xfId="5384"/>
    <cellStyle name="Comma 4 2 2 2 3 2 2 2 2" xfId="11020"/>
    <cellStyle name="Comma 4 2 2 2 3 2 2 3" xfId="8210"/>
    <cellStyle name="Comma 4 2 2 2 3 2 3" xfId="3983"/>
    <cellStyle name="Comma 4 2 2 2 3 2 3 2" xfId="9619"/>
    <cellStyle name="Comma 4 2 2 2 3 2 4" xfId="6809"/>
    <cellStyle name="Comma 4 2 2 2 3 3" xfId="1878"/>
    <cellStyle name="Comma 4 2 2 2 3 3 2" xfId="4688"/>
    <cellStyle name="Comma 4 2 2 2 3 3 2 2" xfId="10324"/>
    <cellStyle name="Comma 4 2 2 2 3 3 3" xfId="7514"/>
    <cellStyle name="Comma 4 2 2 2 3 4" xfId="3287"/>
    <cellStyle name="Comma 4 2 2 2 3 4 2" xfId="8923"/>
    <cellStyle name="Comma 4 2 2 2 3 5" xfId="6113"/>
    <cellStyle name="Comma 4 2 2 2 4" xfId="829"/>
    <cellStyle name="Comma 4 2 2 2 4 2" xfId="2230"/>
    <cellStyle name="Comma 4 2 2 2 4 2 2" xfId="5040"/>
    <cellStyle name="Comma 4 2 2 2 4 2 2 2" xfId="10676"/>
    <cellStyle name="Comma 4 2 2 2 4 2 3" xfId="7866"/>
    <cellStyle name="Comma 4 2 2 2 4 3" xfId="3639"/>
    <cellStyle name="Comma 4 2 2 2 4 3 2" xfId="9275"/>
    <cellStyle name="Comma 4 2 2 2 4 4" xfId="6465"/>
    <cellStyle name="Comma 4 2 2 2 5" xfId="1534"/>
    <cellStyle name="Comma 4 2 2 2 5 2" xfId="4344"/>
    <cellStyle name="Comma 4 2 2 2 5 2 2" xfId="9980"/>
    <cellStyle name="Comma 4 2 2 2 5 3" xfId="7170"/>
    <cellStyle name="Comma 4 2 2 2 6" xfId="2943"/>
    <cellStyle name="Comma 4 2 2 2 6 2" xfId="8579"/>
    <cellStyle name="Comma 4 2 2 2 7" xfId="5769"/>
    <cellStyle name="Comma 4 2 2 3" xfId="225"/>
    <cellStyle name="Comma 4 2 2 3 2" xfId="569"/>
    <cellStyle name="Comma 4 2 2 3 2 2" xfId="1265"/>
    <cellStyle name="Comma 4 2 2 3 2 2 2" xfId="2666"/>
    <cellStyle name="Comma 4 2 2 3 2 2 2 2" xfId="5476"/>
    <cellStyle name="Comma 4 2 2 3 2 2 2 2 2" xfId="11112"/>
    <cellStyle name="Comma 4 2 2 3 2 2 2 3" xfId="8302"/>
    <cellStyle name="Comma 4 2 2 3 2 2 3" xfId="4075"/>
    <cellStyle name="Comma 4 2 2 3 2 2 3 2" xfId="9711"/>
    <cellStyle name="Comma 4 2 2 3 2 2 4" xfId="6901"/>
    <cellStyle name="Comma 4 2 2 3 2 3" xfId="1970"/>
    <cellStyle name="Comma 4 2 2 3 2 3 2" xfId="4780"/>
    <cellStyle name="Comma 4 2 2 3 2 3 2 2" xfId="10416"/>
    <cellStyle name="Comma 4 2 2 3 2 3 3" xfId="7606"/>
    <cellStyle name="Comma 4 2 2 3 2 4" xfId="3379"/>
    <cellStyle name="Comma 4 2 2 3 2 4 2" xfId="9015"/>
    <cellStyle name="Comma 4 2 2 3 2 5" xfId="6205"/>
    <cellStyle name="Comma 4 2 2 3 3" xfId="921"/>
    <cellStyle name="Comma 4 2 2 3 3 2" xfId="2322"/>
    <cellStyle name="Comma 4 2 2 3 3 2 2" xfId="5132"/>
    <cellStyle name="Comma 4 2 2 3 3 2 2 2" xfId="10768"/>
    <cellStyle name="Comma 4 2 2 3 3 2 3" xfId="7958"/>
    <cellStyle name="Comma 4 2 2 3 3 3" xfId="3731"/>
    <cellStyle name="Comma 4 2 2 3 3 3 2" xfId="9367"/>
    <cellStyle name="Comma 4 2 2 3 3 4" xfId="6557"/>
    <cellStyle name="Comma 4 2 2 3 4" xfId="1626"/>
    <cellStyle name="Comma 4 2 2 3 4 2" xfId="4436"/>
    <cellStyle name="Comma 4 2 2 3 4 2 2" xfId="10072"/>
    <cellStyle name="Comma 4 2 2 3 4 3" xfId="7262"/>
    <cellStyle name="Comma 4 2 2 3 5" xfId="3035"/>
    <cellStyle name="Comma 4 2 2 3 5 2" xfId="8671"/>
    <cellStyle name="Comma 4 2 2 3 6" xfId="5861"/>
    <cellStyle name="Comma 4 2 2 4" xfId="397"/>
    <cellStyle name="Comma 4 2 2 4 2" xfId="1093"/>
    <cellStyle name="Comma 4 2 2 4 2 2" xfId="2494"/>
    <cellStyle name="Comma 4 2 2 4 2 2 2" xfId="5304"/>
    <cellStyle name="Comma 4 2 2 4 2 2 2 2" xfId="10940"/>
    <cellStyle name="Comma 4 2 2 4 2 2 3" xfId="8130"/>
    <cellStyle name="Comma 4 2 2 4 2 3" xfId="3903"/>
    <cellStyle name="Comma 4 2 2 4 2 3 2" xfId="9539"/>
    <cellStyle name="Comma 4 2 2 4 2 4" xfId="6729"/>
    <cellStyle name="Comma 4 2 2 4 3" xfId="1798"/>
    <cellStyle name="Comma 4 2 2 4 3 2" xfId="4608"/>
    <cellStyle name="Comma 4 2 2 4 3 2 2" xfId="10244"/>
    <cellStyle name="Comma 4 2 2 4 3 3" xfId="7434"/>
    <cellStyle name="Comma 4 2 2 4 4" xfId="3207"/>
    <cellStyle name="Comma 4 2 2 4 4 2" xfId="8843"/>
    <cellStyle name="Comma 4 2 2 4 5" xfId="6033"/>
    <cellStyle name="Comma 4 2 2 5" xfId="749"/>
    <cellStyle name="Comma 4 2 2 5 2" xfId="2150"/>
    <cellStyle name="Comma 4 2 2 5 2 2" xfId="4960"/>
    <cellStyle name="Comma 4 2 2 5 2 2 2" xfId="10596"/>
    <cellStyle name="Comma 4 2 2 5 2 3" xfId="7786"/>
    <cellStyle name="Comma 4 2 2 5 3" xfId="3559"/>
    <cellStyle name="Comma 4 2 2 5 3 2" xfId="9195"/>
    <cellStyle name="Comma 4 2 2 5 4" xfId="6385"/>
    <cellStyle name="Comma 4 2 2 6" xfId="1454"/>
    <cellStyle name="Comma 4 2 2 6 2" xfId="4264"/>
    <cellStyle name="Comma 4 2 2 6 2 2" xfId="9900"/>
    <cellStyle name="Comma 4 2 2 6 3" xfId="7090"/>
    <cellStyle name="Comma 4 2 2 7" xfId="2863"/>
    <cellStyle name="Comma 4 2 2 7 2" xfId="8499"/>
    <cellStyle name="Comma 4 2 2 8" xfId="5689"/>
    <cellStyle name="Comma 4 2 3" xfId="101"/>
    <cellStyle name="Comma 4 2 3 2" xfId="273"/>
    <cellStyle name="Comma 4 2 3 2 2" xfId="617"/>
    <cellStyle name="Comma 4 2 3 2 2 2" xfId="1313"/>
    <cellStyle name="Comma 4 2 3 2 2 2 2" xfId="2714"/>
    <cellStyle name="Comma 4 2 3 2 2 2 2 2" xfId="5524"/>
    <cellStyle name="Comma 4 2 3 2 2 2 2 2 2" xfId="11160"/>
    <cellStyle name="Comma 4 2 3 2 2 2 2 3" xfId="8350"/>
    <cellStyle name="Comma 4 2 3 2 2 2 3" xfId="4123"/>
    <cellStyle name="Comma 4 2 3 2 2 2 3 2" xfId="9759"/>
    <cellStyle name="Comma 4 2 3 2 2 2 4" xfId="6949"/>
    <cellStyle name="Comma 4 2 3 2 2 3" xfId="2018"/>
    <cellStyle name="Comma 4 2 3 2 2 3 2" xfId="4828"/>
    <cellStyle name="Comma 4 2 3 2 2 3 2 2" xfId="10464"/>
    <cellStyle name="Comma 4 2 3 2 2 3 3" xfId="7654"/>
    <cellStyle name="Comma 4 2 3 2 2 4" xfId="3427"/>
    <cellStyle name="Comma 4 2 3 2 2 4 2" xfId="9063"/>
    <cellStyle name="Comma 4 2 3 2 2 5" xfId="6253"/>
    <cellStyle name="Comma 4 2 3 2 3" xfId="969"/>
    <cellStyle name="Comma 4 2 3 2 3 2" xfId="2370"/>
    <cellStyle name="Comma 4 2 3 2 3 2 2" xfId="5180"/>
    <cellStyle name="Comma 4 2 3 2 3 2 2 2" xfId="10816"/>
    <cellStyle name="Comma 4 2 3 2 3 2 3" xfId="8006"/>
    <cellStyle name="Comma 4 2 3 2 3 3" xfId="3779"/>
    <cellStyle name="Comma 4 2 3 2 3 3 2" xfId="9415"/>
    <cellStyle name="Comma 4 2 3 2 3 4" xfId="6605"/>
    <cellStyle name="Comma 4 2 3 2 4" xfId="1674"/>
    <cellStyle name="Comma 4 2 3 2 4 2" xfId="4484"/>
    <cellStyle name="Comma 4 2 3 2 4 2 2" xfId="10120"/>
    <cellStyle name="Comma 4 2 3 2 4 3" xfId="7310"/>
    <cellStyle name="Comma 4 2 3 2 5" xfId="3083"/>
    <cellStyle name="Comma 4 2 3 2 5 2" xfId="8719"/>
    <cellStyle name="Comma 4 2 3 2 6" xfId="5909"/>
    <cellStyle name="Comma 4 2 3 3" xfId="445"/>
    <cellStyle name="Comma 4 2 3 3 2" xfId="1141"/>
    <cellStyle name="Comma 4 2 3 3 2 2" xfId="2542"/>
    <cellStyle name="Comma 4 2 3 3 2 2 2" xfId="5352"/>
    <cellStyle name="Comma 4 2 3 3 2 2 2 2" xfId="10988"/>
    <cellStyle name="Comma 4 2 3 3 2 2 3" xfId="8178"/>
    <cellStyle name="Comma 4 2 3 3 2 3" xfId="3951"/>
    <cellStyle name="Comma 4 2 3 3 2 3 2" xfId="9587"/>
    <cellStyle name="Comma 4 2 3 3 2 4" xfId="6777"/>
    <cellStyle name="Comma 4 2 3 3 3" xfId="1846"/>
    <cellStyle name="Comma 4 2 3 3 3 2" xfId="4656"/>
    <cellStyle name="Comma 4 2 3 3 3 2 2" xfId="10292"/>
    <cellStyle name="Comma 4 2 3 3 3 3" xfId="7482"/>
    <cellStyle name="Comma 4 2 3 3 4" xfId="3255"/>
    <cellStyle name="Comma 4 2 3 3 4 2" xfId="8891"/>
    <cellStyle name="Comma 4 2 3 3 5" xfId="6081"/>
    <cellStyle name="Comma 4 2 3 4" xfId="797"/>
    <cellStyle name="Comma 4 2 3 4 2" xfId="2198"/>
    <cellStyle name="Comma 4 2 3 4 2 2" xfId="5008"/>
    <cellStyle name="Comma 4 2 3 4 2 2 2" xfId="10644"/>
    <cellStyle name="Comma 4 2 3 4 2 3" xfId="7834"/>
    <cellStyle name="Comma 4 2 3 4 3" xfId="3607"/>
    <cellStyle name="Comma 4 2 3 4 3 2" xfId="9243"/>
    <cellStyle name="Comma 4 2 3 4 4" xfId="6433"/>
    <cellStyle name="Comma 4 2 3 5" xfId="1502"/>
    <cellStyle name="Comma 4 2 3 5 2" xfId="4312"/>
    <cellStyle name="Comma 4 2 3 5 2 2" xfId="9948"/>
    <cellStyle name="Comma 4 2 3 5 3" xfId="7138"/>
    <cellStyle name="Comma 4 2 3 6" xfId="2911"/>
    <cellStyle name="Comma 4 2 3 6 2" xfId="8547"/>
    <cellStyle name="Comma 4 2 3 7" xfId="5737"/>
    <cellStyle name="Comma 4 2 4" xfId="193"/>
    <cellStyle name="Comma 4 2 4 2" xfId="537"/>
    <cellStyle name="Comma 4 2 4 2 2" xfId="1233"/>
    <cellStyle name="Comma 4 2 4 2 2 2" xfId="2634"/>
    <cellStyle name="Comma 4 2 4 2 2 2 2" xfId="5444"/>
    <cellStyle name="Comma 4 2 4 2 2 2 2 2" xfId="11080"/>
    <cellStyle name="Comma 4 2 4 2 2 2 3" xfId="8270"/>
    <cellStyle name="Comma 4 2 4 2 2 3" xfId="4043"/>
    <cellStyle name="Comma 4 2 4 2 2 3 2" xfId="9679"/>
    <cellStyle name="Comma 4 2 4 2 2 4" xfId="6869"/>
    <cellStyle name="Comma 4 2 4 2 3" xfId="1938"/>
    <cellStyle name="Comma 4 2 4 2 3 2" xfId="4748"/>
    <cellStyle name="Comma 4 2 4 2 3 2 2" xfId="10384"/>
    <cellStyle name="Comma 4 2 4 2 3 3" xfId="7574"/>
    <cellStyle name="Comma 4 2 4 2 4" xfId="3347"/>
    <cellStyle name="Comma 4 2 4 2 4 2" xfId="8983"/>
    <cellStyle name="Comma 4 2 4 2 5" xfId="6173"/>
    <cellStyle name="Comma 4 2 4 3" xfId="889"/>
    <cellStyle name="Comma 4 2 4 3 2" xfId="2290"/>
    <cellStyle name="Comma 4 2 4 3 2 2" xfId="5100"/>
    <cellStyle name="Comma 4 2 4 3 2 2 2" xfId="10736"/>
    <cellStyle name="Comma 4 2 4 3 2 3" xfId="7926"/>
    <cellStyle name="Comma 4 2 4 3 3" xfId="3699"/>
    <cellStyle name="Comma 4 2 4 3 3 2" xfId="9335"/>
    <cellStyle name="Comma 4 2 4 3 4" xfId="6525"/>
    <cellStyle name="Comma 4 2 4 4" xfId="1594"/>
    <cellStyle name="Comma 4 2 4 4 2" xfId="4404"/>
    <cellStyle name="Comma 4 2 4 4 2 2" xfId="10040"/>
    <cellStyle name="Comma 4 2 4 4 3" xfId="7230"/>
    <cellStyle name="Comma 4 2 4 5" xfId="3003"/>
    <cellStyle name="Comma 4 2 4 5 2" xfId="8639"/>
    <cellStyle name="Comma 4 2 4 6" xfId="5829"/>
    <cellStyle name="Comma 4 2 5" xfId="365"/>
    <cellStyle name="Comma 4 2 5 2" xfId="1061"/>
    <cellStyle name="Comma 4 2 5 2 2" xfId="2462"/>
    <cellStyle name="Comma 4 2 5 2 2 2" xfId="5272"/>
    <cellStyle name="Comma 4 2 5 2 2 2 2" xfId="10908"/>
    <cellStyle name="Comma 4 2 5 2 2 3" xfId="8098"/>
    <cellStyle name="Comma 4 2 5 2 3" xfId="3871"/>
    <cellStyle name="Comma 4 2 5 2 3 2" xfId="9507"/>
    <cellStyle name="Comma 4 2 5 2 4" xfId="6697"/>
    <cellStyle name="Comma 4 2 5 3" xfId="1766"/>
    <cellStyle name="Comma 4 2 5 3 2" xfId="4576"/>
    <cellStyle name="Comma 4 2 5 3 2 2" xfId="10212"/>
    <cellStyle name="Comma 4 2 5 3 3" xfId="7402"/>
    <cellStyle name="Comma 4 2 5 4" xfId="3175"/>
    <cellStyle name="Comma 4 2 5 4 2" xfId="8811"/>
    <cellStyle name="Comma 4 2 5 5" xfId="6001"/>
    <cellStyle name="Comma 4 2 6" xfId="717"/>
    <cellStyle name="Comma 4 2 6 2" xfId="2118"/>
    <cellStyle name="Comma 4 2 6 2 2" xfId="4928"/>
    <cellStyle name="Comma 4 2 6 2 2 2" xfId="10564"/>
    <cellStyle name="Comma 4 2 6 2 3" xfId="7754"/>
    <cellStyle name="Comma 4 2 6 3" xfId="3527"/>
    <cellStyle name="Comma 4 2 6 3 2" xfId="9163"/>
    <cellStyle name="Comma 4 2 6 4" xfId="6353"/>
    <cellStyle name="Comma 4 2 7" xfId="1422"/>
    <cellStyle name="Comma 4 2 7 2" xfId="4232"/>
    <cellStyle name="Comma 4 2 7 2 2" xfId="9868"/>
    <cellStyle name="Comma 4 2 7 3" xfId="7058"/>
    <cellStyle name="Comma 4 2 8" xfId="2831"/>
    <cellStyle name="Comma 4 2 8 2" xfId="8467"/>
    <cellStyle name="Comma 4 2 9" xfId="5657"/>
    <cellStyle name="Comma 4 3" xfId="41"/>
    <cellStyle name="Comma 4 3 2" xfId="121"/>
    <cellStyle name="Comma 4 3 2 2" xfId="293"/>
    <cellStyle name="Comma 4 3 2 2 2" xfId="637"/>
    <cellStyle name="Comma 4 3 2 2 2 2" xfId="1333"/>
    <cellStyle name="Comma 4 3 2 2 2 2 2" xfId="2734"/>
    <cellStyle name="Comma 4 3 2 2 2 2 2 2" xfId="5544"/>
    <cellStyle name="Comma 4 3 2 2 2 2 2 2 2" xfId="11180"/>
    <cellStyle name="Comma 4 3 2 2 2 2 2 3" xfId="8370"/>
    <cellStyle name="Comma 4 3 2 2 2 2 3" xfId="4143"/>
    <cellStyle name="Comma 4 3 2 2 2 2 3 2" xfId="9779"/>
    <cellStyle name="Comma 4 3 2 2 2 2 4" xfId="6969"/>
    <cellStyle name="Comma 4 3 2 2 2 3" xfId="2038"/>
    <cellStyle name="Comma 4 3 2 2 2 3 2" xfId="4848"/>
    <cellStyle name="Comma 4 3 2 2 2 3 2 2" xfId="10484"/>
    <cellStyle name="Comma 4 3 2 2 2 3 3" xfId="7674"/>
    <cellStyle name="Comma 4 3 2 2 2 4" xfId="3447"/>
    <cellStyle name="Comma 4 3 2 2 2 4 2" xfId="9083"/>
    <cellStyle name="Comma 4 3 2 2 2 5" xfId="6273"/>
    <cellStyle name="Comma 4 3 2 2 3" xfId="989"/>
    <cellStyle name="Comma 4 3 2 2 3 2" xfId="2390"/>
    <cellStyle name="Comma 4 3 2 2 3 2 2" xfId="5200"/>
    <cellStyle name="Comma 4 3 2 2 3 2 2 2" xfId="10836"/>
    <cellStyle name="Comma 4 3 2 2 3 2 3" xfId="8026"/>
    <cellStyle name="Comma 4 3 2 2 3 3" xfId="3799"/>
    <cellStyle name="Comma 4 3 2 2 3 3 2" xfId="9435"/>
    <cellStyle name="Comma 4 3 2 2 3 4" xfId="6625"/>
    <cellStyle name="Comma 4 3 2 2 4" xfId="1694"/>
    <cellStyle name="Comma 4 3 2 2 4 2" xfId="4504"/>
    <cellStyle name="Comma 4 3 2 2 4 2 2" xfId="10140"/>
    <cellStyle name="Comma 4 3 2 2 4 3" xfId="7330"/>
    <cellStyle name="Comma 4 3 2 2 5" xfId="3103"/>
    <cellStyle name="Comma 4 3 2 2 5 2" xfId="8739"/>
    <cellStyle name="Comma 4 3 2 2 6" xfId="5929"/>
    <cellStyle name="Comma 4 3 2 3" xfId="465"/>
    <cellStyle name="Comma 4 3 2 3 2" xfId="1161"/>
    <cellStyle name="Comma 4 3 2 3 2 2" xfId="2562"/>
    <cellStyle name="Comma 4 3 2 3 2 2 2" xfId="5372"/>
    <cellStyle name="Comma 4 3 2 3 2 2 2 2" xfId="11008"/>
    <cellStyle name="Comma 4 3 2 3 2 2 3" xfId="8198"/>
    <cellStyle name="Comma 4 3 2 3 2 3" xfId="3971"/>
    <cellStyle name="Comma 4 3 2 3 2 3 2" xfId="9607"/>
    <cellStyle name="Comma 4 3 2 3 2 4" xfId="6797"/>
    <cellStyle name="Comma 4 3 2 3 3" xfId="1866"/>
    <cellStyle name="Comma 4 3 2 3 3 2" xfId="4676"/>
    <cellStyle name="Comma 4 3 2 3 3 2 2" xfId="10312"/>
    <cellStyle name="Comma 4 3 2 3 3 3" xfId="7502"/>
    <cellStyle name="Comma 4 3 2 3 4" xfId="3275"/>
    <cellStyle name="Comma 4 3 2 3 4 2" xfId="8911"/>
    <cellStyle name="Comma 4 3 2 3 5" xfId="6101"/>
    <cellStyle name="Comma 4 3 2 4" xfId="817"/>
    <cellStyle name="Comma 4 3 2 4 2" xfId="2218"/>
    <cellStyle name="Comma 4 3 2 4 2 2" xfId="5028"/>
    <cellStyle name="Comma 4 3 2 4 2 2 2" xfId="10664"/>
    <cellStyle name="Comma 4 3 2 4 2 3" xfId="7854"/>
    <cellStyle name="Comma 4 3 2 4 3" xfId="3627"/>
    <cellStyle name="Comma 4 3 2 4 3 2" xfId="9263"/>
    <cellStyle name="Comma 4 3 2 4 4" xfId="6453"/>
    <cellStyle name="Comma 4 3 2 5" xfId="1522"/>
    <cellStyle name="Comma 4 3 2 5 2" xfId="4332"/>
    <cellStyle name="Comma 4 3 2 5 2 2" xfId="9968"/>
    <cellStyle name="Comma 4 3 2 5 3" xfId="7158"/>
    <cellStyle name="Comma 4 3 2 6" xfId="2931"/>
    <cellStyle name="Comma 4 3 2 6 2" xfId="8567"/>
    <cellStyle name="Comma 4 3 2 7" xfId="5757"/>
    <cellStyle name="Comma 4 3 3" xfId="213"/>
    <cellStyle name="Comma 4 3 3 2" xfId="557"/>
    <cellStyle name="Comma 4 3 3 2 2" xfId="1253"/>
    <cellStyle name="Comma 4 3 3 2 2 2" xfId="2654"/>
    <cellStyle name="Comma 4 3 3 2 2 2 2" xfId="5464"/>
    <cellStyle name="Comma 4 3 3 2 2 2 2 2" xfId="11100"/>
    <cellStyle name="Comma 4 3 3 2 2 2 3" xfId="8290"/>
    <cellStyle name="Comma 4 3 3 2 2 3" xfId="4063"/>
    <cellStyle name="Comma 4 3 3 2 2 3 2" xfId="9699"/>
    <cellStyle name="Comma 4 3 3 2 2 4" xfId="6889"/>
    <cellStyle name="Comma 4 3 3 2 3" xfId="1958"/>
    <cellStyle name="Comma 4 3 3 2 3 2" xfId="4768"/>
    <cellStyle name="Comma 4 3 3 2 3 2 2" xfId="10404"/>
    <cellStyle name="Comma 4 3 3 2 3 3" xfId="7594"/>
    <cellStyle name="Comma 4 3 3 2 4" xfId="3367"/>
    <cellStyle name="Comma 4 3 3 2 4 2" xfId="9003"/>
    <cellStyle name="Comma 4 3 3 2 5" xfId="6193"/>
    <cellStyle name="Comma 4 3 3 3" xfId="909"/>
    <cellStyle name="Comma 4 3 3 3 2" xfId="2310"/>
    <cellStyle name="Comma 4 3 3 3 2 2" xfId="5120"/>
    <cellStyle name="Comma 4 3 3 3 2 2 2" xfId="10756"/>
    <cellStyle name="Comma 4 3 3 3 2 3" xfId="7946"/>
    <cellStyle name="Comma 4 3 3 3 3" xfId="3719"/>
    <cellStyle name="Comma 4 3 3 3 3 2" xfId="9355"/>
    <cellStyle name="Comma 4 3 3 3 4" xfId="6545"/>
    <cellStyle name="Comma 4 3 3 4" xfId="1614"/>
    <cellStyle name="Comma 4 3 3 4 2" xfId="4424"/>
    <cellStyle name="Comma 4 3 3 4 2 2" xfId="10060"/>
    <cellStyle name="Comma 4 3 3 4 3" xfId="7250"/>
    <cellStyle name="Comma 4 3 3 5" xfId="3023"/>
    <cellStyle name="Comma 4 3 3 5 2" xfId="8659"/>
    <cellStyle name="Comma 4 3 3 6" xfId="5849"/>
    <cellStyle name="Comma 4 3 4" xfId="385"/>
    <cellStyle name="Comma 4 3 4 2" xfId="1081"/>
    <cellStyle name="Comma 4 3 4 2 2" xfId="2482"/>
    <cellStyle name="Comma 4 3 4 2 2 2" xfId="5292"/>
    <cellStyle name="Comma 4 3 4 2 2 2 2" xfId="10928"/>
    <cellStyle name="Comma 4 3 4 2 2 3" xfId="8118"/>
    <cellStyle name="Comma 4 3 4 2 3" xfId="3891"/>
    <cellStyle name="Comma 4 3 4 2 3 2" xfId="9527"/>
    <cellStyle name="Comma 4 3 4 2 4" xfId="6717"/>
    <cellStyle name="Comma 4 3 4 3" xfId="1786"/>
    <cellStyle name="Comma 4 3 4 3 2" xfId="4596"/>
    <cellStyle name="Comma 4 3 4 3 2 2" xfId="10232"/>
    <cellStyle name="Comma 4 3 4 3 3" xfId="7422"/>
    <cellStyle name="Comma 4 3 4 4" xfId="3195"/>
    <cellStyle name="Comma 4 3 4 4 2" xfId="8831"/>
    <cellStyle name="Comma 4 3 4 5" xfId="6021"/>
    <cellStyle name="Comma 4 3 5" xfId="737"/>
    <cellStyle name="Comma 4 3 5 2" xfId="2138"/>
    <cellStyle name="Comma 4 3 5 2 2" xfId="4948"/>
    <cellStyle name="Comma 4 3 5 2 2 2" xfId="10584"/>
    <cellStyle name="Comma 4 3 5 2 3" xfId="7774"/>
    <cellStyle name="Comma 4 3 5 3" xfId="3547"/>
    <cellStyle name="Comma 4 3 5 3 2" xfId="9183"/>
    <cellStyle name="Comma 4 3 5 4" xfId="6373"/>
    <cellStyle name="Comma 4 3 6" xfId="1442"/>
    <cellStyle name="Comma 4 3 6 2" xfId="4252"/>
    <cellStyle name="Comma 4 3 6 2 2" xfId="9888"/>
    <cellStyle name="Comma 4 3 6 3" xfId="7078"/>
    <cellStyle name="Comma 4 3 7" xfId="2851"/>
    <cellStyle name="Comma 4 3 7 2" xfId="8487"/>
    <cellStyle name="Comma 4 3 8" xfId="5677"/>
    <cellStyle name="Comma 4 4" xfId="89"/>
    <cellStyle name="Comma 4 4 2" xfId="261"/>
    <cellStyle name="Comma 4 4 2 2" xfId="605"/>
    <cellStyle name="Comma 4 4 2 2 2" xfId="1301"/>
    <cellStyle name="Comma 4 4 2 2 2 2" xfId="2702"/>
    <cellStyle name="Comma 4 4 2 2 2 2 2" xfId="5512"/>
    <cellStyle name="Comma 4 4 2 2 2 2 2 2" xfId="11148"/>
    <cellStyle name="Comma 4 4 2 2 2 2 3" xfId="8338"/>
    <cellStyle name="Comma 4 4 2 2 2 3" xfId="4111"/>
    <cellStyle name="Comma 4 4 2 2 2 3 2" xfId="9747"/>
    <cellStyle name="Comma 4 4 2 2 2 4" xfId="6937"/>
    <cellStyle name="Comma 4 4 2 2 3" xfId="2006"/>
    <cellStyle name="Comma 4 4 2 2 3 2" xfId="4816"/>
    <cellStyle name="Comma 4 4 2 2 3 2 2" xfId="10452"/>
    <cellStyle name="Comma 4 4 2 2 3 3" xfId="7642"/>
    <cellStyle name="Comma 4 4 2 2 4" xfId="3415"/>
    <cellStyle name="Comma 4 4 2 2 4 2" xfId="9051"/>
    <cellStyle name="Comma 4 4 2 2 5" xfId="6241"/>
    <cellStyle name="Comma 4 4 2 3" xfId="957"/>
    <cellStyle name="Comma 4 4 2 3 2" xfId="2358"/>
    <cellStyle name="Comma 4 4 2 3 2 2" xfId="5168"/>
    <cellStyle name="Comma 4 4 2 3 2 2 2" xfId="10804"/>
    <cellStyle name="Comma 4 4 2 3 2 3" xfId="7994"/>
    <cellStyle name="Comma 4 4 2 3 3" xfId="3767"/>
    <cellStyle name="Comma 4 4 2 3 3 2" xfId="9403"/>
    <cellStyle name="Comma 4 4 2 3 4" xfId="6593"/>
    <cellStyle name="Comma 4 4 2 4" xfId="1662"/>
    <cellStyle name="Comma 4 4 2 4 2" xfId="4472"/>
    <cellStyle name="Comma 4 4 2 4 2 2" xfId="10108"/>
    <cellStyle name="Comma 4 4 2 4 3" xfId="7298"/>
    <cellStyle name="Comma 4 4 2 5" xfId="3071"/>
    <cellStyle name="Comma 4 4 2 5 2" xfId="8707"/>
    <cellStyle name="Comma 4 4 2 6" xfId="5897"/>
    <cellStyle name="Comma 4 4 3" xfId="433"/>
    <cellStyle name="Comma 4 4 3 2" xfId="1129"/>
    <cellStyle name="Comma 4 4 3 2 2" xfId="2530"/>
    <cellStyle name="Comma 4 4 3 2 2 2" xfId="5340"/>
    <cellStyle name="Comma 4 4 3 2 2 2 2" xfId="10976"/>
    <cellStyle name="Comma 4 4 3 2 2 3" xfId="8166"/>
    <cellStyle name="Comma 4 4 3 2 3" xfId="3939"/>
    <cellStyle name="Comma 4 4 3 2 3 2" xfId="9575"/>
    <cellStyle name="Comma 4 4 3 2 4" xfId="6765"/>
    <cellStyle name="Comma 4 4 3 3" xfId="1834"/>
    <cellStyle name="Comma 4 4 3 3 2" xfId="4644"/>
    <cellStyle name="Comma 4 4 3 3 2 2" xfId="10280"/>
    <cellStyle name="Comma 4 4 3 3 3" xfId="7470"/>
    <cellStyle name="Comma 4 4 3 4" xfId="3243"/>
    <cellStyle name="Comma 4 4 3 4 2" xfId="8879"/>
    <cellStyle name="Comma 4 4 3 5" xfId="6069"/>
    <cellStyle name="Comma 4 4 4" xfId="785"/>
    <cellStyle name="Comma 4 4 4 2" xfId="2186"/>
    <cellStyle name="Comma 4 4 4 2 2" xfId="4996"/>
    <cellStyle name="Comma 4 4 4 2 2 2" xfId="10632"/>
    <cellStyle name="Comma 4 4 4 2 3" xfId="7822"/>
    <cellStyle name="Comma 4 4 4 3" xfId="3595"/>
    <cellStyle name="Comma 4 4 4 3 2" xfId="9231"/>
    <cellStyle name="Comma 4 4 4 4" xfId="6421"/>
    <cellStyle name="Comma 4 4 5" xfId="1490"/>
    <cellStyle name="Comma 4 4 5 2" xfId="4300"/>
    <cellStyle name="Comma 4 4 5 2 2" xfId="9936"/>
    <cellStyle name="Comma 4 4 5 3" xfId="7126"/>
    <cellStyle name="Comma 4 4 6" xfId="2899"/>
    <cellStyle name="Comma 4 4 6 2" xfId="8535"/>
    <cellStyle name="Comma 4 4 7" xfId="5725"/>
    <cellStyle name="Comma 4 5" xfId="181"/>
    <cellStyle name="Comma 4 5 2" xfId="525"/>
    <cellStyle name="Comma 4 5 2 2" xfId="1221"/>
    <cellStyle name="Comma 4 5 2 2 2" xfId="2622"/>
    <cellStyle name="Comma 4 5 2 2 2 2" xfId="5432"/>
    <cellStyle name="Comma 4 5 2 2 2 2 2" xfId="11068"/>
    <cellStyle name="Comma 4 5 2 2 2 3" xfId="8258"/>
    <cellStyle name="Comma 4 5 2 2 3" xfId="4031"/>
    <cellStyle name="Comma 4 5 2 2 3 2" xfId="9667"/>
    <cellStyle name="Comma 4 5 2 2 4" xfId="6857"/>
    <cellStyle name="Comma 4 5 2 3" xfId="1926"/>
    <cellStyle name="Comma 4 5 2 3 2" xfId="4736"/>
    <cellStyle name="Comma 4 5 2 3 2 2" xfId="10372"/>
    <cellStyle name="Comma 4 5 2 3 3" xfId="7562"/>
    <cellStyle name="Comma 4 5 2 4" xfId="3335"/>
    <cellStyle name="Comma 4 5 2 4 2" xfId="8971"/>
    <cellStyle name="Comma 4 5 2 5" xfId="6161"/>
    <cellStyle name="Comma 4 5 3" xfId="877"/>
    <cellStyle name="Comma 4 5 3 2" xfId="2278"/>
    <cellStyle name="Comma 4 5 3 2 2" xfId="5088"/>
    <cellStyle name="Comma 4 5 3 2 2 2" xfId="10724"/>
    <cellStyle name="Comma 4 5 3 2 3" xfId="7914"/>
    <cellStyle name="Comma 4 5 3 3" xfId="3687"/>
    <cellStyle name="Comma 4 5 3 3 2" xfId="9323"/>
    <cellStyle name="Comma 4 5 3 4" xfId="6513"/>
    <cellStyle name="Comma 4 5 4" xfId="1582"/>
    <cellStyle name="Comma 4 5 4 2" xfId="4392"/>
    <cellStyle name="Comma 4 5 4 2 2" xfId="10028"/>
    <cellStyle name="Comma 4 5 4 3" xfId="7218"/>
    <cellStyle name="Comma 4 5 5" xfId="2991"/>
    <cellStyle name="Comma 4 5 5 2" xfId="8627"/>
    <cellStyle name="Comma 4 5 6" xfId="5817"/>
    <cellStyle name="Comma 4 6" xfId="353"/>
    <cellStyle name="Comma 4 6 2" xfId="1049"/>
    <cellStyle name="Comma 4 6 2 2" xfId="2450"/>
    <cellStyle name="Comma 4 6 2 2 2" xfId="5260"/>
    <cellStyle name="Comma 4 6 2 2 2 2" xfId="10896"/>
    <cellStyle name="Comma 4 6 2 2 3" xfId="8086"/>
    <cellStyle name="Comma 4 6 2 3" xfId="3859"/>
    <cellStyle name="Comma 4 6 2 3 2" xfId="9495"/>
    <cellStyle name="Comma 4 6 2 4" xfId="6685"/>
    <cellStyle name="Comma 4 6 3" xfId="1754"/>
    <cellStyle name="Comma 4 6 3 2" xfId="4564"/>
    <cellStyle name="Comma 4 6 3 2 2" xfId="10200"/>
    <cellStyle name="Comma 4 6 3 3" xfId="7390"/>
    <cellStyle name="Comma 4 6 4" xfId="3163"/>
    <cellStyle name="Comma 4 6 4 2" xfId="8799"/>
    <cellStyle name="Comma 4 6 5" xfId="5989"/>
    <cellStyle name="Comma 4 7" xfId="705"/>
    <cellStyle name="Comma 4 7 2" xfId="2106"/>
    <cellStyle name="Comma 4 7 2 2" xfId="4916"/>
    <cellStyle name="Comma 4 7 2 2 2" xfId="10552"/>
    <cellStyle name="Comma 4 7 2 3" xfId="7742"/>
    <cellStyle name="Comma 4 7 3" xfId="3515"/>
    <cellStyle name="Comma 4 7 3 2" xfId="9151"/>
    <cellStyle name="Comma 4 7 4" xfId="6341"/>
    <cellStyle name="Comma 4 8" xfId="1410"/>
    <cellStyle name="Comma 4 8 2" xfId="4220"/>
    <cellStyle name="Comma 4 8 2 2" xfId="9856"/>
    <cellStyle name="Comma 4 8 3" xfId="7046"/>
    <cellStyle name="Comma 4 9" xfId="2819"/>
    <cellStyle name="Comma 4 9 2" xfId="8455"/>
    <cellStyle name="Comma 40" xfId="2812"/>
    <cellStyle name="Comma 40 2" xfId="8448"/>
    <cellStyle name="Comma 41" xfId="5623"/>
    <cellStyle name="Comma 41 2" xfId="11259"/>
    <cellStyle name="Comma 42" xfId="5625"/>
    <cellStyle name="Comma 42 2" xfId="11261"/>
    <cellStyle name="Comma 43" xfId="5631"/>
    <cellStyle name="Comma 43 2" xfId="11267"/>
    <cellStyle name="Comma 44" xfId="5637"/>
    <cellStyle name="Comma 5" xfId="12"/>
    <cellStyle name="Comma 5 10" xfId="5648"/>
    <cellStyle name="Comma 5 2" xfId="24"/>
    <cellStyle name="Comma 5 2 2" xfId="56"/>
    <cellStyle name="Comma 5 2 2 2" xfId="136"/>
    <cellStyle name="Comma 5 2 2 2 2" xfId="308"/>
    <cellStyle name="Comma 5 2 2 2 2 2" xfId="652"/>
    <cellStyle name="Comma 5 2 2 2 2 2 2" xfId="1348"/>
    <cellStyle name="Comma 5 2 2 2 2 2 2 2" xfId="2749"/>
    <cellStyle name="Comma 5 2 2 2 2 2 2 2 2" xfId="5559"/>
    <cellStyle name="Comma 5 2 2 2 2 2 2 2 2 2" xfId="11195"/>
    <cellStyle name="Comma 5 2 2 2 2 2 2 2 3" xfId="8385"/>
    <cellStyle name="Comma 5 2 2 2 2 2 2 3" xfId="4158"/>
    <cellStyle name="Comma 5 2 2 2 2 2 2 3 2" xfId="9794"/>
    <cellStyle name="Comma 5 2 2 2 2 2 2 4" xfId="6984"/>
    <cellStyle name="Comma 5 2 2 2 2 2 3" xfId="2053"/>
    <cellStyle name="Comma 5 2 2 2 2 2 3 2" xfId="4863"/>
    <cellStyle name="Comma 5 2 2 2 2 2 3 2 2" xfId="10499"/>
    <cellStyle name="Comma 5 2 2 2 2 2 3 3" xfId="7689"/>
    <cellStyle name="Comma 5 2 2 2 2 2 4" xfId="3462"/>
    <cellStyle name="Comma 5 2 2 2 2 2 4 2" xfId="9098"/>
    <cellStyle name="Comma 5 2 2 2 2 2 5" xfId="6288"/>
    <cellStyle name="Comma 5 2 2 2 2 3" xfId="1004"/>
    <cellStyle name="Comma 5 2 2 2 2 3 2" xfId="2405"/>
    <cellStyle name="Comma 5 2 2 2 2 3 2 2" xfId="5215"/>
    <cellStyle name="Comma 5 2 2 2 2 3 2 2 2" xfId="10851"/>
    <cellStyle name="Comma 5 2 2 2 2 3 2 3" xfId="8041"/>
    <cellStyle name="Comma 5 2 2 2 2 3 3" xfId="3814"/>
    <cellStyle name="Comma 5 2 2 2 2 3 3 2" xfId="9450"/>
    <cellStyle name="Comma 5 2 2 2 2 3 4" xfId="6640"/>
    <cellStyle name="Comma 5 2 2 2 2 4" xfId="1709"/>
    <cellStyle name="Comma 5 2 2 2 2 4 2" xfId="4519"/>
    <cellStyle name="Comma 5 2 2 2 2 4 2 2" xfId="10155"/>
    <cellStyle name="Comma 5 2 2 2 2 4 3" xfId="7345"/>
    <cellStyle name="Comma 5 2 2 2 2 5" xfId="3118"/>
    <cellStyle name="Comma 5 2 2 2 2 5 2" xfId="8754"/>
    <cellStyle name="Comma 5 2 2 2 2 6" xfId="5944"/>
    <cellStyle name="Comma 5 2 2 2 3" xfId="480"/>
    <cellStyle name="Comma 5 2 2 2 3 2" xfId="1176"/>
    <cellStyle name="Comma 5 2 2 2 3 2 2" xfId="2577"/>
    <cellStyle name="Comma 5 2 2 2 3 2 2 2" xfId="5387"/>
    <cellStyle name="Comma 5 2 2 2 3 2 2 2 2" xfId="11023"/>
    <cellStyle name="Comma 5 2 2 2 3 2 2 3" xfId="8213"/>
    <cellStyle name="Comma 5 2 2 2 3 2 3" xfId="3986"/>
    <cellStyle name="Comma 5 2 2 2 3 2 3 2" xfId="9622"/>
    <cellStyle name="Comma 5 2 2 2 3 2 4" xfId="6812"/>
    <cellStyle name="Comma 5 2 2 2 3 3" xfId="1881"/>
    <cellStyle name="Comma 5 2 2 2 3 3 2" xfId="4691"/>
    <cellStyle name="Comma 5 2 2 2 3 3 2 2" xfId="10327"/>
    <cellStyle name="Comma 5 2 2 2 3 3 3" xfId="7517"/>
    <cellStyle name="Comma 5 2 2 2 3 4" xfId="3290"/>
    <cellStyle name="Comma 5 2 2 2 3 4 2" xfId="8926"/>
    <cellStyle name="Comma 5 2 2 2 3 5" xfId="6116"/>
    <cellStyle name="Comma 5 2 2 2 4" xfId="832"/>
    <cellStyle name="Comma 5 2 2 2 4 2" xfId="2233"/>
    <cellStyle name="Comma 5 2 2 2 4 2 2" xfId="5043"/>
    <cellStyle name="Comma 5 2 2 2 4 2 2 2" xfId="10679"/>
    <cellStyle name="Comma 5 2 2 2 4 2 3" xfId="7869"/>
    <cellStyle name="Comma 5 2 2 2 4 3" xfId="3642"/>
    <cellStyle name="Comma 5 2 2 2 4 3 2" xfId="9278"/>
    <cellStyle name="Comma 5 2 2 2 4 4" xfId="6468"/>
    <cellStyle name="Comma 5 2 2 2 5" xfId="1537"/>
    <cellStyle name="Comma 5 2 2 2 5 2" xfId="4347"/>
    <cellStyle name="Comma 5 2 2 2 5 2 2" xfId="9983"/>
    <cellStyle name="Comma 5 2 2 2 5 3" xfId="7173"/>
    <cellStyle name="Comma 5 2 2 2 6" xfId="2946"/>
    <cellStyle name="Comma 5 2 2 2 6 2" xfId="8582"/>
    <cellStyle name="Comma 5 2 2 2 7" xfId="5772"/>
    <cellStyle name="Comma 5 2 2 3" xfId="228"/>
    <cellStyle name="Comma 5 2 2 3 2" xfId="572"/>
    <cellStyle name="Comma 5 2 2 3 2 2" xfId="1268"/>
    <cellStyle name="Comma 5 2 2 3 2 2 2" xfId="2669"/>
    <cellStyle name="Comma 5 2 2 3 2 2 2 2" xfId="5479"/>
    <cellStyle name="Comma 5 2 2 3 2 2 2 2 2" xfId="11115"/>
    <cellStyle name="Comma 5 2 2 3 2 2 2 3" xfId="8305"/>
    <cellStyle name="Comma 5 2 2 3 2 2 3" xfId="4078"/>
    <cellStyle name="Comma 5 2 2 3 2 2 3 2" xfId="9714"/>
    <cellStyle name="Comma 5 2 2 3 2 2 4" xfId="6904"/>
    <cellStyle name="Comma 5 2 2 3 2 3" xfId="1973"/>
    <cellStyle name="Comma 5 2 2 3 2 3 2" xfId="4783"/>
    <cellStyle name="Comma 5 2 2 3 2 3 2 2" xfId="10419"/>
    <cellStyle name="Comma 5 2 2 3 2 3 3" xfId="7609"/>
    <cellStyle name="Comma 5 2 2 3 2 4" xfId="3382"/>
    <cellStyle name="Comma 5 2 2 3 2 4 2" xfId="9018"/>
    <cellStyle name="Comma 5 2 2 3 2 5" xfId="6208"/>
    <cellStyle name="Comma 5 2 2 3 3" xfId="924"/>
    <cellStyle name="Comma 5 2 2 3 3 2" xfId="2325"/>
    <cellStyle name="Comma 5 2 2 3 3 2 2" xfId="5135"/>
    <cellStyle name="Comma 5 2 2 3 3 2 2 2" xfId="10771"/>
    <cellStyle name="Comma 5 2 2 3 3 2 3" xfId="7961"/>
    <cellStyle name="Comma 5 2 2 3 3 3" xfId="3734"/>
    <cellStyle name="Comma 5 2 2 3 3 3 2" xfId="9370"/>
    <cellStyle name="Comma 5 2 2 3 3 4" xfId="6560"/>
    <cellStyle name="Comma 5 2 2 3 4" xfId="1629"/>
    <cellStyle name="Comma 5 2 2 3 4 2" xfId="4439"/>
    <cellStyle name="Comma 5 2 2 3 4 2 2" xfId="10075"/>
    <cellStyle name="Comma 5 2 2 3 4 3" xfId="7265"/>
    <cellStyle name="Comma 5 2 2 3 5" xfId="3038"/>
    <cellStyle name="Comma 5 2 2 3 5 2" xfId="8674"/>
    <cellStyle name="Comma 5 2 2 3 6" xfId="5864"/>
    <cellStyle name="Comma 5 2 2 4" xfId="400"/>
    <cellStyle name="Comma 5 2 2 4 2" xfId="1096"/>
    <cellStyle name="Comma 5 2 2 4 2 2" xfId="2497"/>
    <cellStyle name="Comma 5 2 2 4 2 2 2" xfId="5307"/>
    <cellStyle name="Comma 5 2 2 4 2 2 2 2" xfId="10943"/>
    <cellStyle name="Comma 5 2 2 4 2 2 3" xfId="8133"/>
    <cellStyle name="Comma 5 2 2 4 2 3" xfId="3906"/>
    <cellStyle name="Comma 5 2 2 4 2 3 2" xfId="9542"/>
    <cellStyle name="Comma 5 2 2 4 2 4" xfId="6732"/>
    <cellStyle name="Comma 5 2 2 4 3" xfId="1801"/>
    <cellStyle name="Comma 5 2 2 4 3 2" xfId="4611"/>
    <cellStyle name="Comma 5 2 2 4 3 2 2" xfId="10247"/>
    <cellStyle name="Comma 5 2 2 4 3 3" xfId="7437"/>
    <cellStyle name="Comma 5 2 2 4 4" xfId="3210"/>
    <cellStyle name="Comma 5 2 2 4 4 2" xfId="8846"/>
    <cellStyle name="Comma 5 2 2 4 5" xfId="6036"/>
    <cellStyle name="Comma 5 2 2 5" xfId="752"/>
    <cellStyle name="Comma 5 2 2 5 2" xfId="2153"/>
    <cellStyle name="Comma 5 2 2 5 2 2" xfId="4963"/>
    <cellStyle name="Comma 5 2 2 5 2 2 2" xfId="10599"/>
    <cellStyle name="Comma 5 2 2 5 2 3" xfId="7789"/>
    <cellStyle name="Comma 5 2 2 5 3" xfId="3562"/>
    <cellStyle name="Comma 5 2 2 5 3 2" xfId="9198"/>
    <cellStyle name="Comma 5 2 2 5 4" xfId="6388"/>
    <cellStyle name="Comma 5 2 2 6" xfId="1457"/>
    <cellStyle name="Comma 5 2 2 6 2" xfId="4267"/>
    <cellStyle name="Comma 5 2 2 6 2 2" xfId="9903"/>
    <cellStyle name="Comma 5 2 2 6 3" xfId="7093"/>
    <cellStyle name="Comma 5 2 2 7" xfId="2866"/>
    <cellStyle name="Comma 5 2 2 7 2" xfId="8502"/>
    <cellStyle name="Comma 5 2 2 8" xfId="5692"/>
    <cellStyle name="Comma 5 2 3" xfId="104"/>
    <cellStyle name="Comma 5 2 3 2" xfId="276"/>
    <cellStyle name="Comma 5 2 3 2 2" xfId="620"/>
    <cellStyle name="Comma 5 2 3 2 2 2" xfId="1316"/>
    <cellStyle name="Comma 5 2 3 2 2 2 2" xfId="2717"/>
    <cellStyle name="Comma 5 2 3 2 2 2 2 2" xfId="5527"/>
    <cellStyle name="Comma 5 2 3 2 2 2 2 2 2" xfId="11163"/>
    <cellStyle name="Comma 5 2 3 2 2 2 2 3" xfId="8353"/>
    <cellStyle name="Comma 5 2 3 2 2 2 3" xfId="4126"/>
    <cellStyle name="Comma 5 2 3 2 2 2 3 2" xfId="9762"/>
    <cellStyle name="Comma 5 2 3 2 2 2 4" xfId="6952"/>
    <cellStyle name="Comma 5 2 3 2 2 3" xfId="2021"/>
    <cellStyle name="Comma 5 2 3 2 2 3 2" xfId="4831"/>
    <cellStyle name="Comma 5 2 3 2 2 3 2 2" xfId="10467"/>
    <cellStyle name="Comma 5 2 3 2 2 3 3" xfId="7657"/>
    <cellStyle name="Comma 5 2 3 2 2 4" xfId="3430"/>
    <cellStyle name="Comma 5 2 3 2 2 4 2" xfId="9066"/>
    <cellStyle name="Comma 5 2 3 2 2 5" xfId="6256"/>
    <cellStyle name="Comma 5 2 3 2 3" xfId="972"/>
    <cellStyle name="Comma 5 2 3 2 3 2" xfId="2373"/>
    <cellStyle name="Comma 5 2 3 2 3 2 2" xfId="5183"/>
    <cellStyle name="Comma 5 2 3 2 3 2 2 2" xfId="10819"/>
    <cellStyle name="Comma 5 2 3 2 3 2 3" xfId="8009"/>
    <cellStyle name="Comma 5 2 3 2 3 3" xfId="3782"/>
    <cellStyle name="Comma 5 2 3 2 3 3 2" xfId="9418"/>
    <cellStyle name="Comma 5 2 3 2 3 4" xfId="6608"/>
    <cellStyle name="Comma 5 2 3 2 4" xfId="1677"/>
    <cellStyle name="Comma 5 2 3 2 4 2" xfId="4487"/>
    <cellStyle name="Comma 5 2 3 2 4 2 2" xfId="10123"/>
    <cellStyle name="Comma 5 2 3 2 4 3" xfId="7313"/>
    <cellStyle name="Comma 5 2 3 2 5" xfId="3086"/>
    <cellStyle name="Comma 5 2 3 2 5 2" xfId="8722"/>
    <cellStyle name="Comma 5 2 3 2 6" xfId="5912"/>
    <cellStyle name="Comma 5 2 3 3" xfId="448"/>
    <cellStyle name="Comma 5 2 3 3 2" xfId="1144"/>
    <cellStyle name="Comma 5 2 3 3 2 2" xfId="2545"/>
    <cellStyle name="Comma 5 2 3 3 2 2 2" xfId="5355"/>
    <cellStyle name="Comma 5 2 3 3 2 2 2 2" xfId="10991"/>
    <cellStyle name="Comma 5 2 3 3 2 2 3" xfId="8181"/>
    <cellStyle name="Comma 5 2 3 3 2 3" xfId="3954"/>
    <cellStyle name="Comma 5 2 3 3 2 3 2" xfId="9590"/>
    <cellStyle name="Comma 5 2 3 3 2 4" xfId="6780"/>
    <cellStyle name="Comma 5 2 3 3 3" xfId="1849"/>
    <cellStyle name="Comma 5 2 3 3 3 2" xfId="4659"/>
    <cellStyle name="Comma 5 2 3 3 3 2 2" xfId="10295"/>
    <cellStyle name="Comma 5 2 3 3 3 3" xfId="7485"/>
    <cellStyle name="Comma 5 2 3 3 4" xfId="3258"/>
    <cellStyle name="Comma 5 2 3 3 4 2" xfId="8894"/>
    <cellStyle name="Comma 5 2 3 3 5" xfId="6084"/>
    <cellStyle name="Comma 5 2 3 4" xfId="800"/>
    <cellStyle name="Comma 5 2 3 4 2" xfId="2201"/>
    <cellStyle name="Comma 5 2 3 4 2 2" xfId="5011"/>
    <cellStyle name="Comma 5 2 3 4 2 2 2" xfId="10647"/>
    <cellStyle name="Comma 5 2 3 4 2 3" xfId="7837"/>
    <cellStyle name="Comma 5 2 3 4 3" xfId="3610"/>
    <cellStyle name="Comma 5 2 3 4 3 2" xfId="9246"/>
    <cellStyle name="Comma 5 2 3 4 4" xfId="6436"/>
    <cellStyle name="Comma 5 2 3 5" xfId="1505"/>
    <cellStyle name="Comma 5 2 3 5 2" xfId="4315"/>
    <cellStyle name="Comma 5 2 3 5 2 2" xfId="9951"/>
    <cellStyle name="Comma 5 2 3 5 3" xfId="7141"/>
    <cellStyle name="Comma 5 2 3 6" xfId="2914"/>
    <cellStyle name="Comma 5 2 3 6 2" xfId="8550"/>
    <cellStyle name="Comma 5 2 3 7" xfId="5740"/>
    <cellStyle name="Comma 5 2 4" xfId="196"/>
    <cellStyle name="Comma 5 2 4 2" xfId="540"/>
    <cellStyle name="Comma 5 2 4 2 2" xfId="1236"/>
    <cellStyle name="Comma 5 2 4 2 2 2" xfId="2637"/>
    <cellStyle name="Comma 5 2 4 2 2 2 2" xfId="5447"/>
    <cellStyle name="Comma 5 2 4 2 2 2 2 2" xfId="11083"/>
    <cellStyle name="Comma 5 2 4 2 2 2 3" xfId="8273"/>
    <cellStyle name="Comma 5 2 4 2 2 3" xfId="4046"/>
    <cellStyle name="Comma 5 2 4 2 2 3 2" xfId="9682"/>
    <cellStyle name="Comma 5 2 4 2 2 4" xfId="6872"/>
    <cellStyle name="Comma 5 2 4 2 3" xfId="1941"/>
    <cellStyle name="Comma 5 2 4 2 3 2" xfId="4751"/>
    <cellStyle name="Comma 5 2 4 2 3 2 2" xfId="10387"/>
    <cellStyle name="Comma 5 2 4 2 3 3" xfId="7577"/>
    <cellStyle name="Comma 5 2 4 2 4" xfId="3350"/>
    <cellStyle name="Comma 5 2 4 2 4 2" xfId="8986"/>
    <cellStyle name="Comma 5 2 4 2 5" xfId="6176"/>
    <cellStyle name="Comma 5 2 4 3" xfId="892"/>
    <cellStyle name="Comma 5 2 4 3 2" xfId="2293"/>
    <cellStyle name="Comma 5 2 4 3 2 2" xfId="5103"/>
    <cellStyle name="Comma 5 2 4 3 2 2 2" xfId="10739"/>
    <cellStyle name="Comma 5 2 4 3 2 3" xfId="7929"/>
    <cellStyle name="Comma 5 2 4 3 3" xfId="3702"/>
    <cellStyle name="Comma 5 2 4 3 3 2" xfId="9338"/>
    <cellStyle name="Comma 5 2 4 3 4" xfId="6528"/>
    <cellStyle name="Comma 5 2 4 4" xfId="1597"/>
    <cellStyle name="Comma 5 2 4 4 2" xfId="4407"/>
    <cellStyle name="Comma 5 2 4 4 2 2" xfId="10043"/>
    <cellStyle name="Comma 5 2 4 4 3" xfId="7233"/>
    <cellStyle name="Comma 5 2 4 5" xfId="3006"/>
    <cellStyle name="Comma 5 2 4 5 2" xfId="8642"/>
    <cellStyle name="Comma 5 2 4 6" xfId="5832"/>
    <cellStyle name="Comma 5 2 5" xfId="368"/>
    <cellStyle name="Comma 5 2 5 2" xfId="1064"/>
    <cellStyle name="Comma 5 2 5 2 2" xfId="2465"/>
    <cellStyle name="Comma 5 2 5 2 2 2" xfId="5275"/>
    <cellStyle name="Comma 5 2 5 2 2 2 2" xfId="10911"/>
    <cellStyle name="Comma 5 2 5 2 2 3" xfId="8101"/>
    <cellStyle name="Comma 5 2 5 2 3" xfId="3874"/>
    <cellStyle name="Comma 5 2 5 2 3 2" xfId="9510"/>
    <cellStyle name="Comma 5 2 5 2 4" xfId="6700"/>
    <cellStyle name="Comma 5 2 5 3" xfId="1769"/>
    <cellStyle name="Comma 5 2 5 3 2" xfId="4579"/>
    <cellStyle name="Comma 5 2 5 3 2 2" xfId="10215"/>
    <cellStyle name="Comma 5 2 5 3 3" xfId="7405"/>
    <cellStyle name="Comma 5 2 5 4" xfId="3178"/>
    <cellStyle name="Comma 5 2 5 4 2" xfId="8814"/>
    <cellStyle name="Comma 5 2 5 5" xfId="6004"/>
    <cellStyle name="Comma 5 2 6" xfId="720"/>
    <cellStyle name="Comma 5 2 6 2" xfId="2121"/>
    <cellStyle name="Comma 5 2 6 2 2" xfId="4931"/>
    <cellStyle name="Comma 5 2 6 2 2 2" xfId="10567"/>
    <cellStyle name="Comma 5 2 6 2 3" xfId="7757"/>
    <cellStyle name="Comma 5 2 6 3" xfId="3530"/>
    <cellStyle name="Comma 5 2 6 3 2" xfId="9166"/>
    <cellStyle name="Comma 5 2 6 4" xfId="6356"/>
    <cellStyle name="Comma 5 2 7" xfId="1425"/>
    <cellStyle name="Comma 5 2 7 2" xfId="4235"/>
    <cellStyle name="Comma 5 2 7 2 2" xfId="9871"/>
    <cellStyle name="Comma 5 2 7 3" xfId="7061"/>
    <cellStyle name="Comma 5 2 8" xfId="2834"/>
    <cellStyle name="Comma 5 2 8 2" xfId="8470"/>
    <cellStyle name="Comma 5 2 9" xfId="5660"/>
    <cellStyle name="Comma 5 3" xfId="44"/>
    <cellStyle name="Comma 5 3 2" xfId="124"/>
    <cellStyle name="Comma 5 3 2 2" xfId="296"/>
    <cellStyle name="Comma 5 3 2 2 2" xfId="640"/>
    <cellStyle name="Comma 5 3 2 2 2 2" xfId="1336"/>
    <cellStyle name="Comma 5 3 2 2 2 2 2" xfId="2737"/>
    <cellStyle name="Comma 5 3 2 2 2 2 2 2" xfId="5547"/>
    <cellStyle name="Comma 5 3 2 2 2 2 2 2 2" xfId="11183"/>
    <cellStyle name="Comma 5 3 2 2 2 2 2 3" xfId="8373"/>
    <cellStyle name="Comma 5 3 2 2 2 2 3" xfId="4146"/>
    <cellStyle name="Comma 5 3 2 2 2 2 3 2" xfId="9782"/>
    <cellStyle name="Comma 5 3 2 2 2 2 4" xfId="6972"/>
    <cellStyle name="Comma 5 3 2 2 2 3" xfId="2041"/>
    <cellStyle name="Comma 5 3 2 2 2 3 2" xfId="4851"/>
    <cellStyle name="Comma 5 3 2 2 2 3 2 2" xfId="10487"/>
    <cellStyle name="Comma 5 3 2 2 2 3 3" xfId="7677"/>
    <cellStyle name="Comma 5 3 2 2 2 4" xfId="3450"/>
    <cellStyle name="Comma 5 3 2 2 2 4 2" xfId="9086"/>
    <cellStyle name="Comma 5 3 2 2 2 5" xfId="6276"/>
    <cellStyle name="Comma 5 3 2 2 3" xfId="992"/>
    <cellStyle name="Comma 5 3 2 2 3 2" xfId="2393"/>
    <cellStyle name="Comma 5 3 2 2 3 2 2" xfId="5203"/>
    <cellStyle name="Comma 5 3 2 2 3 2 2 2" xfId="10839"/>
    <cellStyle name="Comma 5 3 2 2 3 2 3" xfId="8029"/>
    <cellStyle name="Comma 5 3 2 2 3 3" xfId="3802"/>
    <cellStyle name="Comma 5 3 2 2 3 3 2" xfId="9438"/>
    <cellStyle name="Comma 5 3 2 2 3 4" xfId="6628"/>
    <cellStyle name="Comma 5 3 2 2 4" xfId="1697"/>
    <cellStyle name="Comma 5 3 2 2 4 2" xfId="4507"/>
    <cellStyle name="Comma 5 3 2 2 4 2 2" xfId="10143"/>
    <cellStyle name="Comma 5 3 2 2 4 3" xfId="7333"/>
    <cellStyle name="Comma 5 3 2 2 5" xfId="3106"/>
    <cellStyle name="Comma 5 3 2 2 5 2" xfId="8742"/>
    <cellStyle name="Comma 5 3 2 2 6" xfId="5932"/>
    <cellStyle name="Comma 5 3 2 3" xfId="468"/>
    <cellStyle name="Comma 5 3 2 3 2" xfId="1164"/>
    <cellStyle name="Comma 5 3 2 3 2 2" xfId="2565"/>
    <cellStyle name="Comma 5 3 2 3 2 2 2" xfId="5375"/>
    <cellStyle name="Comma 5 3 2 3 2 2 2 2" xfId="11011"/>
    <cellStyle name="Comma 5 3 2 3 2 2 3" xfId="8201"/>
    <cellStyle name="Comma 5 3 2 3 2 3" xfId="3974"/>
    <cellStyle name="Comma 5 3 2 3 2 3 2" xfId="9610"/>
    <cellStyle name="Comma 5 3 2 3 2 4" xfId="6800"/>
    <cellStyle name="Comma 5 3 2 3 3" xfId="1869"/>
    <cellStyle name="Comma 5 3 2 3 3 2" xfId="4679"/>
    <cellStyle name="Comma 5 3 2 3 3 2 2" xfId="10315"/>
    <cellStyle name="Comma 5 3 2 3 3 3" xfId="7505"/>
    <cellStyle name="Comma 5 3 2 3 4" xfId="3278"/>
    <cellStyle name="Comma 5 3 2 3 4 2" xfId="8914"/>
    <cellStyle name="Comma 5 3 2 3 5" xfId="6104"/>
    <cellStyle name="Comma 5 3 2 4" xfId="820"/>
    <cellStyle name="Comma 5 3 2 4 2" xfId="2221"/>
    <cellStyle name="Comma 5 3 2 4 2 2" xfId="5031"/>
    <cellStyle name="Comma 5 3 2 4 2 2 2" xfId="10667"/>
    <cellStyle name="Comma 5 3 2 4 2 3" xfId="7857"/>
    <cellStyle name="Comma 5 3 2 4 3" xfId="3630"/>
    <cellStyle name="Comma 5 3 2 4 3 2" xfId="9266"/>
    <cellStyle name="Comma 5 3 2 4 4" xfId="6456"/>
    <cellStyle name="Comma 5 3 2 5" xfId="1525"/>
    <cellStyle name="Comma 5 3 2 5 2" xfId="4335"/>
    <cellStyle name="Comma 5 3 2 5 2 2" xfId="9971"/>
    <cellStyle name="Comma 5 3 2 5 3" xfId="7161"/>
    <cellStyle name="Comma 5 3 2 6" xfId="2934"/>
    <cellStyle name="Comma 5 3 2 6 2" xfId="8570"/>
    <cellStyle name="Comma 5 3 2 7" xfId="5760"/>
    <cellStyle name="Comma 5 3 3" xfId="216"/>
    <cellStyle name="Comma 5 3 3 2" xfId="560"/>
    <cellStyle name="Comma 5 3 3 2 2" xfId="1256"/>
    <cellStyle name="Comma 5 3 3 2 2 2" xfId="2657"/>
    <cellStyle name="Comma 5 3 3 2 2 2 2" xfId="5467"/>
    <cellStyle name="Comma 5 3 3 2 2 2 2 2" xfId="11103"/>
    <cellStyle name="Comma 5 3 3 2 2 2 3" xfId="8293"/>
    <cellStyle name="Comma 5 3 3 2 2 3" xfId="4066"/>
    <cellStyle name="Comma 5 3 3 2 2 3 2" xfId="9702"/>
    <cellStyle name="Comma 5 3 3 2 2 4" xfId="6892"/>
    <cellStyle name="Comma 5 3 3 2 3" xfId="1961"/>
    <cellStyle name="Comma 5 3 3 2 3 2" xfId="4771"/>
    <cellStyle name="Comma 5 3 3 2 3 2 2" xfId="10407"/>
    <cellStyle name="Comma 5 3 3 2 3 3" xfId="7597"/>
    <cellStyle name="Comma 5 3 3 2 4" xfId="3370"/>
    <cellStyle name="Comma 5 3 3 2 4 2" xfId="9006"/>
    <cellStyle name="Comma 5 3 3 2 5" xfId="6196"/>
    <cellStyle name="Comma 5 3 3 3" xfId="912"/>
    <cellStyle name="Comma 5 3 3 3 2" xfId="2313"/>
    <cellStyle name="Comma 5 3 3 3 2 2" xfId="5123"/>
    <cellStyle name="Comma 5 3 3 3 2 2 2" xfId="10759"/>
    <cellStyle name="Comma 5 3 3 3 2 3" xfId="7949"/>
    <cellStyle name="Comma 5 3 3 3 3" xfId="3722"/>
    <cellStyle name="Comma 5 3 3 3 3 2" xfId="9358"/>
    <cellStyle name="Comma 5 3 3 3 4" xfId="6548"/>
    <cellStyle name="Comma 5 3 3 4" xfId="1617"/>
    <cellStyle name="Comma 5 3 3 4 2" xfId="4427"/>
    <cellStyle name="Comma 5 3 3 4 2 2" xfId="10063"/>
    <cellStyle name="Comma 5 3 3 4 3" xfId="7253"/>
    <cellStyle name="Comma 5 3 3 5" xfId="3026"/>
    <cellStyle name="Comma 5 3 3 5 2" xfId="8662"/>
    <cellStyle name="Comma 5 3 3 6" xfId="5852"/>
    <cellStyle name="Comma 5 3 4" xfId="388"/>
    <cellStyle name="Comma 5 3 4 2" xfId="1084"/>
    <cellStyle name="Comma 5 3 4 2 2" xfId="2485"/>
    <cellStyle name="Comma 5 3 4 2 2 2" xfId="5295"/>
    <cellStyle name="Comma 5 3 4 2 2 2 2" xfId="10931"/>
    <cellStyle name="Comma 5 3 4 2 2 3" xfId="8121"/>
    <cellStyle name="Comma 5 3 4 2 3" xfId="3894"/>
    <cellStyle name="Comma 5 3 4 2 3 2" xfId="9530"/>
    <cellStyle name="Comma 5 3 4 2 4" xfId="6720"/>
    <cellStyle name="Comma 5 3 4 3" xfId="1789"/>
    <cellStyle name="Comma 5 3 4 3 2" xfId="4599"/>
    <cellStyle name="Comma 5 3 4 3 2 2" xfId="10235"/>
    <cellStyle name="Comma 5 3 4 3 3" xfId="7425"/>
    <cellStyle name="Comma 5 3 4 4" xfId="3198"/>
    <cellStyle name="Comma 5 3 4 4 2" xfId="8834"/>
    <cellStyle name="Comma 5 3 4 5" xfId="6024"/>
    <cellStyle name="Comma 5 3 5" xfId="740"/>
    <cellStyle name="Comma 5 3 5 2" xfId="2141"/>
    <cellStyle name="Comma 5 3 5 2 2" xfId="4951"/>
    <cellStyle name="Comma 5 3 5 2 2 2" xfId="10587"/>
    <cellStyle name="Comma 5 3 5 2 3" xfId="7777"/>
    <cellStyle name="Comma 5 3 5 3" xfId="3550"/>
    <cellStyle name="Comma 5 3 5 3 2" xfId="9186"/>
    <cellStyle name="Comma 5 3 5 4" xfId="6376"/>
    <cellStyle name="Comma 5 3 6" xfId="1445"/>
    <cellStyle name="Comma 5 3 6 2" xfId="4255"/>
    <cellStyle name="Comma 5 3 6 2 2" xfId="9891"/>
    <cellStyle name="Comma 5 3 6 3" xfId="7081"/>
    <cellStyle name="Comma 5 3 7" xfId="2854"/>
    <cellStyle name="Comma 5 3 7 2" xfId="8490"/>
    <cellStyle name="Comma 5 3 8" xfId="5680"/>
    <cellStyle name="Comma 5 4" xfId="92"/>
    <cellStyle name="Comma 5 4 2" xfId="264"/>
    <cellStyle name="Comma 5 4 2 2" xfId="608"/>
    <cellStyle name="Comma 5 4 2 2 2" xfId="1304"/>
    <cellStyle name="Comma 5 4 2 2 2 2" xfId="2705"/>
    <cellStyle name="Comma 5 4 2 2 2 2 2" xfId="5515"/>
    <cellStyle name="Comma 5 4 2 2 2 2 2 2" xfId="11151"/>
    <cellStyle name="Comma 5 4 2 2 2 2 3" xfId="8341"/>
    <cellStyle name="Comma 5 4 2 2 2 3" xfId="4114"/>
    <cellStyle name="Comma 5 4 2 2 2 3 2" xfId="9750"/>
    <cellStyle name="Comma 5 4 2 2 2 4" xfId="6940"/>
    <cellStyle name="Comma 5 4 2 2 3" xfId="2009"/>
    <cellStyle name="Comma 5 4 2 2 3 2" xfId="4819"/>
    <cellStyle name="Comma 5 4 2 2 3 2 2" xfId="10455"/>
    <cellStyle name="Comma 5 4 2 2 3 3" xfId="7645"/>
    <cellStyle name="Comma 5 4 2 2 4" xfId="3418"/>
    <cellStyle name="Comma 5 4 2 2 4 2" xfId="9054"/>
    <cellStyle name="Comma 5 4 2 2 5" xfId="6244"/>
    <cellStyle name="Comma 5 4 2 3" xfId="960"/>
    <cellStyle name="Comma 5 4 2 3 2" xfId="2361"/>
    <cellStyle name="Comma 5 4 2 3 2 2" xfId="5171"/>
    <cellStyle name="Comma 5 4 2 3 2 2 2" xfId="10807"/>
    <cellStyle name="Comma 5 4 2 3 2 3" xfId="7997"/>
    <cellStyle name="Comma 5 4 2 3 3" xfId="3770"/>
    <cellStyle name="Comma 5 4 2 3 3 2" xfId="9406"/>
    <cellStyle name="Comma 5 4 2 3 4" xfId="6596"/>
    <cellStyle name="Comma 5 4 2 4" xfId="1665"/>
    <cellStyle name="Comma 5 4 2 4 2" xfId="4475"/>
    <cellStyle name="Comma 5 4 2 4 2 2" xfId="10111"/>
    <cellStyle name="Comma 5 4 2 4 3" xfId="7301"/>
    <cellStyle name="Comma 5 4 2 5" xfId="3074"/>
    <cellStyle name="Comma 5 4 2 5 2" xfId="8710"/>
    <cellStyle name="Comma 5 4 2 6" xfId="5900"/>
    <cellStyle name="Comma 5 4 3" xfId="436"/>
    <cellStyle name="Comma 5 4 3 2" xfId="1132"/>
    <cellStyle name="Comma 5 4 3 2 2" xfId="2533"/>
    <cellStyle name="Comma 5 4 3 2 2 2" xfId="5343"/>
    <cellStyle name="Comma 5 4 3 2 2 2 2" xfId="10979"/>
    <cellStyle name="Comma 5 4 3 2 2 3" xfId="8169"/>
    <cellStyle name="Comma 5 4 3 2 3" xfId="3942"/>
    <cellStyle name="Comma 5 4 3 2 3 2" xfId="9578"/>
    <cellStyle name="Comma 5 4 3 2 4" xfId="6768"/>
    <cellStyle name="Comma 5 4 3 3" xfId="1837"/>
    <cellStyle name="Comma 5 4 3 3 2" xfId="4647"/>
    <cellStyle name="Comma 5 4 3 3 2 2" xfId="10283"/>
    <cellStyle name="Comma 5 4 3 3 3" xfId="7473"/>
    <cellStyle name="Comma 5 4 3 4" xfId="3246"/>
    <cellStyle name="Comma 5 4 3 4 2" xfId="8882"/>
    <cellStyle name="Comma 5 4 3 5" xfId="6072"/>
    <cellStyle name="Comma 5 4 4" xfId="788"/>
    <cellStyle name="Comma 5 4 4 2" xfId="2189"/>
    <cellStyle name="Comma 5 4 4 2 2" xfId="4999"/>
    <cellStyle name="Comma 5 4 4 2 2 2" xfId="10635"/>
    <cellStyle name="Comma 5 4 4 2 3" xfId="7825"/>
    <cellStyle name="Comma 5 4 4 3" xfId="3598"/>
    <cellStyle name="Comma 5 4 4 3 2" xfId="9234"/>
    <cellStyle name="Comma 5 4 4 4" xfId="6424"/>
    <cellStyle name="Comma 5 4 5" xfId="1493"/>
    <cellStyle name="Comma 5 4 5 2" xfId="4303"/>
    <cellStyle name="Comma 5 4 5 2 2" xfId="9939"/>
    <cellStyle name="Comma 5 4 5 3" xfId="7129"/>
    <cellStyle name="Comma 5 4 6" xfId="2902"/>
    <cellStyle name="Comma 5 4 6 2" xfId="8538"/>
    <cellStyle name="Comma 5 4 7" xfId="5728"/>
    <cellStyle name="Comma 5 5" xfId="184"/>
    <cellStyle name="Comma 5 5 2" xfId="528"/>
    <cellStyle name="Comma 5 5 2 2" xfId="1224"/>
    <cellStyle name="Comma 5 5 2 2 2" xfId="2625"/>
    <cellStyle name="Comma 5 5 2 2 2 2" xfId="5435"/>
    <cellStyle name="Comma 5 5 2 2 2 2 2" xfId="11071"/>
    <cellStyle name="Comma 5 5 2 2 2 3" xfId="8261"/>
    <cellStyle name="Comma 5 5 2 2 3" xfId="4034"/>
    <cellStyle name="Comma 5 5 2 2 3 2" xfId="9670"/>
    <cellStyle name="Comma 5 5 2 2 4" xfId="6860"/>
    <cellStyle name="Comma 5 5 2 3" xfId="1929"/>
    <cellStyle name="Comma 5 5 2 3 2" xfId="4739"/>
    <cellStyle name="Comma 5 5 2 3 2 2" xfId="10375"/>
    <cellStyle name="Comma 5 5 2 3 3" xfId="7565"/>
    <cellStyle name="Comma 5 5 2 4" xfId="3338"/>
    <cellStyle name="Comma 5 5 2 4 2" xfId="8974"/>
    <cellStyle name="Comma 5 5 2 5" xfId="6164"/>
    <cellStyle name="Comma 5 5 3" xfId="880"/>
    <cellStyle name="Comma 5 5 3 2" xfId="2281"/>
    <cellStyle name="Comma 5 5 3 2 2" xfId="5091"/>
    <cellStyle name="Comma 5 5 3 2 2 2" xfId="10727"/>
    <cellStyle name="Comma 5 5 3 2 3" xfId="7917"/>
    <cellStyle name="Comma 5 5 3 3" xfId="3690"/>
    <cellStyle name="Comma 5 5 3 3 2" xfId="9326"/>
    <cellStyle name="Comma 5 5 3 4" xfId="6516"/>
    <cellStyle name="Comma 5 5 4" xfId="1585"/>
    <cellStyle name="Comma 5 5 4 2" xfId="4395"/>
    <cellStyle name="Comma 5 5 4 2 2" xfId="10031"/>
    <cellStyle name="Comma 5 5 4 3" xfId="7221"/>
    <cellStyle name="Comma 5 5 5" xfId="2994"/>
    <cellStyle name="Comma 5 5 5 2" xfId="8630"/>
    <cellStyle name="Comma 5 5 6" xfId="5820"/>
    <cellStyle name="Comma 5 6" xfId="356"/>
    <cellStyle name="Comma 5 6 2" xfId="1052"/>
    <cellStyle name="Comma 5 6 2 2" xfId="2453"/>
    <cellStyle name="Comma 5 6 2 2 2" xfId="5263"/>
    <cellStyle name="Comma 5 6 2 2 2 2" xfId="10899"/>
    <cellStyle name="Comma 5 6 2 2 3" xfId="8089"/>
    <cellStyle name="Comma 5 6 2 3" xfId="3862"/>
    <cellStyle name="Comma 5 6 2 3 2" xfId="9498"/>
    <cellStyle name="Comma 5 6 2 4" xfId="6688"/>
    <cellStyle name="Comma 5 6 3" xfId="1757"/>
    <cellStyle name="Comma 5 6 3 2" xfId="4567"/>
    <cellStyle name="Comma 5 6 3 2 2" xfId="10203"/>
    <cellStyle name="Comma 5 6 3 3" xfId="7393"/>
    <cellStyle name="Comma 5 6 4" xfId="3166"/>
    <cellStyle name="Comma 5 6 4 2" xfId="8802"/>
    <cellStyle name="Comma 5 6 5" xfId="5992"/>
    <cellStyle name="Comma 5 7" xfId="708"/>
    <cellStyle name="Comma 5 7 2" xfId="2109"/>
    <cellStyle name="Comma 5 7 2 2" xfId="4919"/>
    <cellStyle name="Comma 5 7 2 2 2" xfId="10555"/>
    <cellStyle name="Comma 5 7 2 3" xfId="7745"/>
    <cellStyle name="Comma 5 7 3" xfId="3518"/>
    <cellStyle name="Comma 5 7 3 2" xfId="9154"/>
    <cellStyle name="Comma 5 7 4" xfId="6344"/>
    <cellStyle name="Comma 5 8" xfId="1413"/>
    <cellStyle name="Comma 5 8 2" xfId="4223"/>
    <cellStyle name="Comma 5 8 2 2" xfId="9859"/>
    <cellStyle name="Comma 5 8 3" xfId="7049"/>
    <cellStyle name="Comma 5 9" xfId="2822"/>
    <cellStyle name="Comma 5 9 2" xfId="8458"/>
    <cellStyle name="Comma 6" xfId="14"/>
    <cellStyle name="Comma 6 2" xfId="46"/>
    <cellStyle name="Comma 6 2 2" xfId="126"/>
    <cellStyle name="Comma 6 2 2 2" xfId="298"/>
    <cellStyle name="Comma 6 2 2 2 2" xfId="642"/>
    <cellStyle name="Comma 6 2 2 2 2 2" xfId="1338"/>
    <cellStyle name="Comma 6 2 2 2 2 2 2" xfId="2739"/>
    <cellStyle name="Comma 6 2 2 2 2 2 2 2" xfId="5549"/>
    <cellStyle name="Comma 6 2 2 2 2 2 2 2 2" xfId="11185"/>
    <cellStyle name="Comma 6 2 2 2 2 2 2 3" xfId="8375"/>
    <cellStyle name="Comma 6 2 2 2 2 2 3" xfId="4148"/>
    <cellStyle name="Comma 6 2 2 2 2 2 3 2" xfId="9784"/>
    <cellStyle name="Comma 6 2 2 2 2 2 4" xfId="6974"/>
    <cellStyle name="Comma 6 2 2 2 2 3" xfId="2043"/>
    <cellStyle name="Comma 6 2 2 2 2 3 2" xfId="4853"/>
    <cellStyle name="Comma 6 2 2 2 2 3 2 2" xfId="10489"/>
    <cellStyle name="Comma 6 2 2 2 2 3 3" xfId="7679"/>
    <cellStyle name="Comma 6 2 2 2 2 4" xfId="3452"/>
    <cellStyle name="Comma 6 2 2 2 2 4 2" xfId="9088"/>
    <cellStyle name="Comma 6 2 2 2 2 5" xfId="6278"/>
    <cellStyle name="Comma 6 2 2 2 3" xfId="994"/>
    <cellStyle name="Comma 6 2 2 2 3 2" xfId="2395"/>
    <cellStyle name="Comma 6 2 2 2 3 2 2" xfId="5205"/>
    <cellStyle name="Comma 6 2 2 2 3 2 2 2" xfId="10841"/>
    <cellStyle name="Comma 6 2 2 2 3 2 3" xfId="8031"/>
    <cellStyle name="Comma 6 2 2 2 3 3" xfId="3804"/>
    <cellStyle name="Comma 6 2 2 2 3 3 2" xfId="9440"/>
    <cellStyle name="Comma 6 2 2 2 3 4" xfId="6630"/>
    <cellStyle name="Comma 6 2 2 2 4" xfId="1699"/>
    <cellStyle name="Comma 6 2 2 2 4 2" xfId="4509"/>
    <cellStyle name="Comma 6 2 2 2 4 2 2" xfId="10145"/>
    <cellStyle name="Comma 6 2 2 2 4 3" xfId="7335"/>
    <cellStyle name="Comma 6 2 2 2 5" xfId="3108"/>
    <cellStyle name="Comma 6 2 2 2 5 2" xfId="8744"/>
    <cellStyle name="Comma 6 2 2 2 6" xfId="5934"/>
    <cellStyle name="Comma 6 2 2 3" xfId="470"/>
    <cellStyle name="Comma 6 2 2 3 2" xfId="1166"/>
    <cellStyle name="Comma 6 2 2 3 2 2" xfId="2567"/>
    <cellStyle name="Comma 6 2 2 3 2 2 2" xfId="5377"/>
    <cellStyle name="Comma 6 2 2 3 2 2 2 2" xfId="11013"/>
    <cellStyle name="Comma 6 2 2 3 2 2 3" xfId="8203"/>
    <cellStyle name="Comma 6 2 2 3 2 3" xfId="3976"/>
    <cellStyle name="Comma 6 2 2 3 2 3 2" xfId="9612"/>
    <cellStyle name="Comma 6 2 2 3 2 4" xfId="6802"/>
    <cellStyle name="Comma 6 2 2 3 3" xfId="1871"/>
    <cellStyle name="Comma 6 2 2 3 3 2" xfId="4681"/>
    <cellStyle name="Comma 6 2 2 3 3 2 2" xfId="10317"/>
    <cellStyle name="Comma 6 2 2 3 3 3" xfId="7507"/>
    <cellStyle name="Comma 6 2 2 3 4" xfId="3280"/>
    <cellStyle name="Comma 6 2 2 3 4 2" xfId="8916"/>
    <cellStyle name="Comma 6 2 2 3 5" xfId="6106"/>
    <cellStyle name="Comma 6 2 2 4" xfId="822"/>
    <cellStyle name="Comma 6 2 2 4 2" xfId="2223"/>
    <cellStyle name="Comma 6 2 2 4 2 2" xfId="5033"/>
    <cellStyle name="Comma 6 2 2 4 2 2 2" xfId="10669"/>
    <cellStyle name="Comma 6 2 2 4 2 3" xfId="7859"/>
    <cellStyle name="Comma 6 2 2 4 3" xfId="3632"/>
    <cellStyle name="Comma 6 2 2 4 3 2" xfId="9268"/>
    <cellStyle name="Comma 6 2 2 4 4" xfId="6458"/>
    <cellStyle name="Comma 6 2 2 5" xfId="1527"/>
    <cellStyle name="Comma 6 2 2 5 2" xfId="4337"/>
    <cellStyle name="Comma 6 2 2 5 2 2" xfId="9973"/>
    <cellStyle name="Comma 6 2 2 5 3" xfId="7163"/>
    <cellStyle name="Comma 6 2 2 6" xfId="2936"/>
    <cellStyle name="Comma 6 2 2 6 2" xfId="8572"/>
    <cellStyle name="Comma 6 2 2 7" xfId="5762"/>
    <cellStyle name="Comma 6 2 3" xfId="218"/>
    <cellStyle name="Comma 6 2 3 2" xfId="562"/>
    <cellStyle name="Comma 6 2 3 2 2" xfId="1258"/>
    <cellStyle name="Comma 6 2 3 2 2 2" xfId="2659"/>
    <cellStyle name="Comma 6 2 3 2 2 2 2" xfId="5469"/>
    <cellStyle name="Comma 6 2 3 2 2 2 2 2" xfId="11105"/>
    <cellStyle name="Comma 6 2 3 2 2 2 3" xfId="8295"/>
    <cellStyle name="Comma 6 2 3 2 2 3" xfId="4068"/>
    <cellStyle name="Comma 6 2 3 2 2 3 2" xfId="9704"/>
    <cellStyle name="Comma 6 2 3 2 2 4" xfId="6894"/>
    <cellStyle name="Comma 6 2 3 2 3" xfId="1963"/>
    <cellStyle name="Comma 6 2 3 2 3 2" xfId="4773"/>
    <cellStyle name="Comma 6 2 3 2 3 2 2" xfId="10409"/>
    <cellStyle name="Comma 6 2 3 2 3 3" xfId="7599"/>
    <cellStyle name="Comma 6 2 3 2 4" xfId="3372"/>
    <cellStyle name="Comma 6 2 3 2 4 2" xfId="9008"/>
    <cellStyle name="Comma 6 2 3 2 5" xfId="6198"/>
    <cellStyle name="Comma 6 2 3 3" xfId="914"/>
    <cellStyle name="Comma 6 2 3 3 2" xfId="2315"/>
    <cellStyle name="Comma 6 2 3 3 2 2" xfId="5125"/>
    <cellStyle name="Comma 6 2 3 3 2 2 2" xfId="10761"/>
    <cellStyle name="Comma 6 2 3 3 2 3" xfId="7951"/>
    <cellStyle name="Comma 6 2 3 3 3" xfId="3724"/>
    <cellStyle name="Comma 6 2 3 3 3 2" xfId="9360"/>
    <cellStyle name="Comma 6 2 3 3 4" xfId="6550"/>
    <cellStyle name="Comma 6 2 3 4" xfId="1619"/>
    <cellStyle name="Comma 6 2 3 4 2" xfId="4429"/>
    <cellStyle name="Comma 6 2 3 4 2 2" xfId="10065"/>
    <cellStyle name="Comma 6 2 3 4 3" xfId="7255"/>
    <cellStyle name="Comma 6 2 3 5" xfId="3028"/>
    <cellStyle name="Comma 6 2 3 5 2" xfId="8664"/>
    <cellStyle name="Comma 6 2 3 6" xfId="5854"/>
    <cellStyle name="Comma 6 2 4" xfId="390"/>
    <cellStyle name="Comma 6 2 4 2" xfId="1086"/>
    <cellStyle name="Comma 6 2 4 2 2" xfId="2487"/>
    <cellStyle name="Comma 6 2 4 2 2 2" xfId="5297"/>
    <cellStyle name="Comma 6 2 4 2 2 2 2" xfId="10933"/>
    <cellStyle name="Comma 6 2 4 2 2 3" xfId="8123"/>
    <cellStyle name="Comma 6 2 4 2 3" xfId="3896"/>
    <cellStyle name="Comma 6 2 4 2 3 2" xfId="9532"/>
    <cellStyle name="Comma 6 2 4 2 4" xfId="6722"/>
    <cellStyle name="Comma 6 2 4 3" xfId="1791"/>
    <cellStyle name="Comma 6 2 4 3 2" xfId="4601"/>
    <cellStyle name="Comma 6 2 4 3 2 2" xfId="10237"/>
    <cellStyle name="Comma 6 2 4 3 3" xfId="7427"/>
    <cellStyle name="Comma 6 2 4 4" xfId="3200"/>
    <cellStyle name="Comma 6 2 4 4 2" xfId="8836"/>
    <cellStyle name="Comma 6 2 4 5" xfId="6026"/>
    <cellStyle name="Comma 6 2 5" xfId="742"/>
    <cellStyle name="Comma 6 2 5 2" xfId="2143"/>
    <cellStyle name="Comma 6 2 5 2 2" xfId="4953"/>
    <cellStyle name="Comma 6 2 5 2 2 2" xfId="10589"/>
    <cellStyle name="Comma 6 2 5 2 3" xfId="7779"/>
    <cellStyle name="Comma 6 2 5 3" xfId="3552"/>
    <cellStyle name="Comma 6 2 5 3 2" xfId="9188"/>
    <cellStyle name="Comma 6 2 5 4" xfId="6378"/>
    <cellStyle name="Comma 6 2 6" xfId="1447"/>
    <cellStyle name="Comma 6 2 6 2" xfId="4257"/>
    <cellStyle name="Comma 6 2 6 2 2" xfId="9893"/>
    <cellStyle name="Comma 6 2 6 3" xfId="7083"/>
    <cellStyle name="Comma 6 2 7" xfId="2856"/>
    <cellStyle name="Comma 6 2 7 2" xfId="8492"/>
    <cellStyle name="Comma 6 2 8" xfId="5682"/>
    <cellStyle name="Comma 6 3" xfId="94"/>
    <cellStyle name="Comma 6 3 2" xfId="266"/>
    <cellStyle name="Comma 6 3 2 2" xfId="610"/>
    <cellStyle name="Comma 6 3 2 2 2" xfId="1306"/>
    <cellStyle name="Comma 6 3 2 2 2 2" xfId="2707"/>
    <cellStyle name="Comma 6 3 2 2 2 2 2" xfId="5517"/>
    <cellStyle name="Comma 6 3 2 2 2 2 2 2" xfId="11153"/>
    <cellStyle name="Comma 6 3 2 2 2 2 3" xfId="8343"/>
    <cellStyle name="Comma 6 3 2 2 2 3" xfId="4116"/>
    <cellStyle name="Comma 6 3 2 2 2 3 2" xfId="9752"/>
    <cellStyle name="Comma 6 3 2 2 2 4" xfId="6942"/>
    <cellStyle name="Comma 6 3 2 2 3" xfId="2011"/>
    <cellStyle name="Comma 6 3 2 2 3 2" xfId="4821"/>
    <cellStyle name="Comma 6 3 2 2 3 2 2" xfId="10457"/>
    <cellStyle name="Comma 6 3 2 2 3 3" xfId="7647"/>
    <cellStyle name="Comma 6 3 2 2 4" xfId="3420"/>
    <cellStyle name="Comma 6 3 2 2 4 2" xfId="9056"/>
    <cellStyle name="Comma 6 3 2 2 5" xfId="6246"/>
    <cellStyle name="Comma 6 3 2 3" xfId="962"/>
    <cellStyle name="Comma 6 3 2 3 2" xfId="2363"/>
    <cellStyle name="Comma 6 3 2 3 2 2" xfId="5173"/>
    <cellStyle name="Comma 6 3 2 3 2 2 2" xfId="10809"/>
    <cellStyle name="Comma 6 3 2 3 2 3" xfId="7999"/>
    <cellStyle name="Comma 6 3 2 3 3" xfId="3772"/>
    <cellStyle name="Comma 6 3 2 3 3 2" xfId="9408"/>
    <cellStyle name="Comma 6 3 2 3 4" xfId="6598"/>
    <cellStyle name="Comma 6 3 2 4" xfId="1667"/>
    <cellStyle name="Comma 6 3 2 4 2" xfId="4477"/>
    <cellStyle name="Comma 6 3 2 4 2 2" xfId="10113"/>
    <cellStyle name="Comma 6 3 2 4 3" xfId="7303"/>
    <cellStyle name="Comma 6 3 2 5" xfId="3076"/>
    <cellStyle name="Comma 6 3 2 5 2" xfId="8712"/>
    <cellStyle name="Comma 6 3 2 6" xfId="5902"/>
    <cellStyle name="Comma 6 3 3" xfId="438"/>
    <cellStyle name="Comma 6 3 3 2" xfId="1134"/>
    <cellStyle name="Comma 6 3 3 2 2" xfId="2535"/>
    <cellStyle name="Comma 6 3 3 2 2 2" xfId="5345"/>
    <cellStyle name="Comma 6 3 3 2 2 2 2" xfId="10981"/>
    <cellStyle name="Comma 6 3 3 2 2 3" xfId="8171"/>
    <cellStyle name="Comma 6 3 3 2 3" xfId="3944"/>
    <cellStyle name="Comma 6 3 3 2 3 2" xfId="9580"/>
    <cellStyle name="Comma 6 3 3 2 4" xfId="6770"/>
    <cellStyle name="Comma 6 3 3 3" xfId="1839"/>
    <cellStyle name="Comma 6 3 3 3 2" xfId="4649"/>
    <cellStyle name="Comma 6 3 3 3 2 2" xfId="10285"/>
    <cellStyle name="Comma 6 3 3 3 3" xfId="7475"/>
    <cellStyle name="Comma 6 3 3 4" xfId="3248"/>
    <cellStyle name="Comma 6 3 3 4 2" xfId="8884"/>
    <cellStyle name="Comma 6 3 3 5" xfId="6074"/>
    <cellStyle name="Comma 6 3 4" xfId="790"/>
    <cellStyle name="Comma 6 3 4 2" xfId="2191"/>
    <cellStyle name="Comma 6 3 4 2 2" xfId="5001"/>
    <cellStyle name="Comma 6 3 4 2 2 2" xfId="10637"/>
    <cellStyle name="Comma 6 3 4 2 3" xfId="7827"/>
    <cellStyle name="Comma 6 3 4 3" xfId="3600"/>
    <cellStyle name="Comma 6 3 4 3 2" xfId="9236"/>
    <cellStyle name="Comma 6 3 4 4" xfId="6426"/>
    <cellStyle name="Comma 6 3 5" xfId="1495"/>
    <cellStyle name="Comma 6 3 5 2" xfId="4305"/>
    <cellStyle name="Comma 6 3 5 2 2" xfId="9941"/>
    <cellStyle name="Comma 6 3 5 3" xfId="7131"/>
    <cellStyle name="Comma 6 3 6" xfId="2904"/>
    <cellStyle name="Comma 6 3 6 2" xfId="8540"/>
    <cellStyle name="Comma 6 3 7" xfId="5730"/>
    <cellStyle name="Comma 6 4" xfId="186"/>
    <cellStyle name="Comma 6 4 2" xfId="530"/>
    <cellStyle name="Comma 6 4 2 2" xfId="1226"/>
    <cellStyle name="Comma 6 4 2 2 2" xfId="2627"/>
    <cellStyle name="Comma 6 4 2 2 2 2" xfId="5437"/>
    <cellStyle name="Comma 6 4 2 2 2 2 2" xfId="11073"/>
    <cellStyle name="Comma 6 4 2 2 2 3" xfId="8263"/>
    <cellStyle name="Comma 6 4 2 2 3" xfId="4036"/>
    <cellStyle name="Comma 6 4 2 2 3 2" xfId="9672"/>
    <cellStyle name="Comma 6 4 2 2 4" xfId="6862"/>
    <cellStyle name="Comma 6 4 2 3" xfId="1931"/>
    <cellStyle name="Comma 6 4 2 3 2" xfId="4741"/>
    <cellStyle name="Comma 6 4 2 3 2 2" xfId="10377"/>
    <cellStyle name="Comma 6 4 2 3 3" xfId="7567"/>
    <cellStyle name="Comma 6 4 2 4" xfId="3340"/>
    <cellStyle name="Comma 6 4 2 4 2" xfId="8976"/>
    <cellStyle name="Comma 6 4 2 5" xfId="6166"/>
    <cellStyle name="Comma 6 4 3" xfId="882"/>
    <cellStyle name="Comma 6 4 3 2" xfId="2283"/>
    <cellStyle name="Comma 6 4 3 2 2" xfId="5093"/>
    <cellStyle name="Comma 6 4 3 2 2 2" xfId="10729"/>
    <cellStyle name="Comma 6 4 3 2 3" xfId="7919"/>
    <cellStyle name="Comma 6 4 3 3" xfId="3692"/>
    <cellStyle name="Comma 6 4 3 3 2" xfId="9328"/>
    <cellStyle name="Comma 6 4 3 4" xfId="6518"/>
    <cellStyle name="Comma 6 4 4" xfId="1587"/>
    <cellStyle name="Comma 6 4 4 2" xfId="4397"/>
    <cellStyle name="Comma 6 4 4 2 2" xfId="10033"/>
    <cellStyle name="Comma 6 4 4 3" xfId="7223"/>
    <cellStyle name="Comma 6 4 5" xfId="2996"/>
    <cellStyle name="Comma 6 4 5 2" xfId="8632"/>
    <cellStyle name="Comma 6 4 6" xfId="5822"/>
    <cellStyle name="Comma 6 5" xfId="358"/>
    <cellStyle name="Comma 6 5 2" xfId="1054"/>
    <cellStyle name="Comma 6 5 2 2" xfId="2455"/>
    <cellStyle name="Comma 6 5 2 2 2" xfId="5265"/>
    <cellStyle name="Comma 6 5 2 2 2 2" xfId="10901"/>
    <cellStyle name="Comma 6 5 2 2 3" xfId="8091"/>
    <cellStyle name="Comma 6 5 2 3" xfId="3864"/>
    <cellStyle name="Comma 6 5 2 3 2" xfId="9500"/>
    <cellStyle name="Comma 6 5 2 4" xfId="6690"/>
    <cellStyle name="Comma 6 5 3" xfId="1759"/>
    <cellStyle name="Comma 6 5 3 2" xfId="4569"/>
    <cellStyle name="Comma 6 5 3 2 2" xfId="10205"/>
    <cellStyle name="Comma 6 5 3 3" xfId="7395"/>
    <cellStyle name="Comma 6 5 4" xfId="3168"/>
    <cellStyle name="Comma 6 5 4 2" xfId="8804"/>
    <cellStyle name="Comma 6 5 5" xfId="5994"/>
    <cellStyle name="Comma 6 6" xfId="710"/>
    <cellStyle name="Comma 6 6 2" xfId="2111"/>
    <cellStyle name="Comma 6 6 2 2" xfId="4921"/>
    <cellStyle name="Comma 6 6 2 2 2" xfId="10557"/>
    <cellStyle name="Comma 6 6 2 3" xfId="7747"/>
    <cellStyle name="Comma 6 6 3" xfId="3520"/>
    <cellStyle name="Comma 6 6 3 2" xfId="9156"/>
    <cellStyle name="Comma 6 6 4" xfId="6346"/>
    <cellStyle name="Comma 6 7" xfId="1415"/>
    <cellStyle name="Comma 6 7 2" xfId="4225"/>
    <cellStyle name="Comma 6 7 2 2" xfId="9861"/>
    <cellStyle name="Comma 6 7 3" xfId="7051"/>
    <cellStyle name="Comma 6 8" xfId="2824"/>
    <cellStyle name="Comma 6 8 2" xfId="8460"/>
    <cellStyle name="Comma 6 9" xfId="5650"/>
    <cellStyle name="Comma 7" xfId="27"/>
    <cellStyle name="Comma 7 2" xfId="59"/>
    <cellStyle name="Comma 7 2 2" xfId="139"/>
    <cellStyle name="Comma 7 2 2 2" xfId="311"/>
    <cellStyle name="Comma 7 2 2 2 2" xfId="655"/>
    <cellStyle name="Comma 7 2 2 2 2 2" xfId="1351"/>
    <cellStyle name="Comma 7 2 2 2 2 2 2" xfId="2752"/>
    <cellStyle name="Comma 7 2 2 2 2 2 2 2" xfId="5562"/>
    <cellStyle name="Comma 7 2 2 2 2 2 2 2 2" xfId="11198"/>
    <cellStyle name="Comma 7 2 2 2 2 2 2 3" xfId="8388"/>
    <cellStyle name="Comma 7 2 2 2 2 2 3" xfId="4161"/>
    <cellStyle name="Comma 7 2 2 2 2 2 3 2" xfId="9797"/>
    <cellStyle name="Comma 7 2 2 2 2 2 4" xfId="6987"/>
    <cellStyle name="Comma 7 2 2 2 2 3" xfId="2056"/>
    <cellStyle name="Comma 7 2 2 2 2 3 2" xfId="4866"/>
    <cellStyle name="Comma 7 2 2 2 2 3 2 2" xfId="10502"/>
    <cellStyle name="Comma 7 2 2 2 2 3 3" xfId="7692"/>
    <cellStyle name="Comma 7 2 2 2 2 4" xfId="3465"/>
    <cellStyle name="Comma 7 2 2 2 2 4 2" xfId="9101"/>
    <cellStyle name="Comma 7 2 2 2 2 5" xfId="6291"/>
    <cellStyle name="Comma 7 2 2 2 3" xfId="1007"/>
    <cellStyle name="Comma 7 2 2 2 3 2" xfId="2408"/>
    <cellStyle name="Comma 7 2 2 2 3 2 2" xfId="5218"/>
    <cellStyle name="Comma 7 2 2 2 3 2 2 2" xfId="10854"/>
    <cellStyle name="Comma 7 2 2 2 3 2 3" xfId="8044"/>
    <cellStyle name="Comma 7 2 2 2 3 3" xfId="3817"/>
    <cellStyle name="Comma 7 2 2 2 3 3 2" xfId="9453"/>
    <cellStyle name="Comma 7 2 2 2 3 4" xfId="6643"/>
    <cellStyle name="Comma 7 2 2 2 4" xfId="1712"/>
    <cellStyle name="Comma 7 2 2 2 4 2" xfId="4522"/>
    <cellStyle name="Comma 7 2 2 2 4 2 2" xfId="10158"/>
    <cellStyle name="Comma 7 2 2 2 4 3" xfId="7348"/>
    <cellStyle name="Comma 7 2 2 2 5" xfId="3121"/>
    <cellStyle name="Comma 7 2 2 2 5 2" xfId="8757"/>
    <cellStyle name="Comma 7 2 2 2 6" xfId="5947"/>
    <cellStyle name="Comma 7 2 2 3" xfId="483"/>
    <cellStyle name="Comma 7 2 2 3 2" xfId="1179"/>
    <cellStyle name="Comma 7 2 2 3 2 2" xfId="2580"/>
    <cellStyle name="Comma 7 2 2 3 2 2 2" xfId="5390"/>
    <cellStyle name="Comma 7 2 2 3 2 2 2 2" xfId="11026"/>
    <cellStyle name="Comma 7 2 2 3 2 2 3" xfId="8216"/>
    <cellStyle name="Comma 7 2 2 3 2 3" xfId="3989"/>
    <cellStyle name="Comma 7 2 2 3 2 3 2" xfId="9625"/>
    <cellStyle name="Comma 7 2 2 3 2 4" xfId="6815"/>
    <cellStyle name="Comma 7 2 2 3 3" xfId="1884"/>
    <cellStyle name="Comma 7 2 2 3 3 2" xfId="4694"/>
    <cellStyle name="Comma 7 2 2 3 3 2 2" xfId="10330"/>
    <cellStyle name="Comma 7 2 2 3 3 3" xfId="7520"/>
    <cellStyle name="Comma 7 2 2 3 4" xfId="3293"/>
    <cellStyle name="Comma 7 2 2 3 4 2" xfId="8929"/>
    <cellStyle name="Comma 7 2 2 3 5" xfId="6119"/>
    <cellStyle name="Comma 7 2 2 4" xfId="835"/>
    <cellStyle name="Comma 7 2 2 4 2" xfId="2236"/>
    <cellStyle name="Comma 7 2 2 4 2 2" xfId="5046"/>
    <cellStyle name="Comma 7 2 2 4 2 2 2" xfId="10682"/>
    <cellStyle name="Comma 7 2 2 4 2 3" xfId="7872"/>
    <cellStyle name="Comma 7 2 2 4 3" xfId="3645"/>
    <cellStyle name="Comma 7 2 2 4 3 2" xfId="9281"/>
    <cellStyle name="Comma 7 2 2 4 4" xfId="6471"/>
    <cellStyle name="Comma 7 2 2 5" xfId="1540"/>
    <cellStyle name="Comma 7 2 2 5 2" xfId="4350"/>
    <cellStyle name="Comma 7 2 2 5 2 2" xfId="9986"/>
    <cellStyle name="Comma 7 2 2 5 3" xfId="7176"/>
    <cellStyle name="Comma 7 2 2 6" xfId="2949"/>
    <cellStyle name="Comma 7 2 2 6 2" xfId="8585"/>
    <cellStyle name="Comma 7 2 2 7" xfId="5775"/>
    <cellStyle name="Comma 7 2 3" xfId="231"/>
    <cellStyle name="Comma 7 2 3 2" xfId="575"/>
    <cellStyle name="Comma 7 2 3 2 2" xfId="1271"/>
    <cellStyle name="Comma 7 2 3 2 2 2" xfId="2672"/>
    <cellStyle name="Comma 7 2 3 2 2 2 2" xfId="5482"/>
    <cellStyle name="Comma 7 2 3 2 2 2 2 2" xfId="11118"/>
    <cellStyle name="Comma 7 2 3 2 2 2 3" xfId="8308"/>
    <cellStyle name="Comma 7 2 3 2 2 3" xfId="4081"/>
    <cellStyle name="Comma 7 2 3 2 2 3 2" xfId="9717"/>
    <cellStyle name="Comma 7 2 3 2 2 4" xfId="6907"/>
    <cellStyle name="Comma 7 2 3 2 3" xfId="1976"/>
    <cellStyle name="Comma 7 2 3 2 3 2" xfId="4786"/>
    <cellStyle name="Comma 7 2 3 2 3 2 2" xfId="10422"/>
    <cellStyle name="Comma 7 2 3 2 3 3" xfId="7612"/>
    <cellStyle name="Comma 7 2 3 2 4" xfId="3385"/>
    <cellStyle name="Comma 7 2 3 2 4 2" xfId="9021"/>
    <cellStyle name="Comma 7 2 3 2 5" xfId="6211"/>
    <cellStyle name="Comma 7 2 3 3" xfId="927"/>
    <cellStyle name="Comma 7 2 3 3 2" xfId="2328"/>
    <cellStyle name="Comma 7 2 3 3 2 2" xfId="5138"/>
    <cellStyle name="Comma 7 2 3 3 2 2 2" xfId="10774"/>
    <cellStyle name="Comma 7 2 3 3 2 3" xfId="7964"/>
    <cellStyle name="Comma 7 2 3 3 3" xfId="3737"/>
    <cellStyle name="Comma 7 2 3 3 3 2" xfId="9373"/>
    <cellStyle name="Comma 7 2 3 3 4" xfId="6563"/>
    <cellStyle name="Comma 7 2 3 4" xfId="1632"/>
    <cellStyle name="Comma 7 2 3 4 2" xfId="4442"/>
    <cellStyle name="Comma 7 2 3 4 2 2" xfId="10078"/>
    <cellStyle name="Comma 7 2 3 4 3" xfId="7268"/>
    <cellStyle name="Comma 7 2 3 5" xfId="3041"/>
    <cellStyle name="Comma 7 2 3 5 2" xfId="8677"/>
    <cellStyle name="Comma 7 2 3 6" xfId="5867"/>
    <cellStyle name="Comma 7 2 4" xfId="403"/>
    <cellStyle name="Comma 7 2 4 2" xfId="1099"/>
    <cellStyle name="Comma 7 2 4 2 2" xfId="2500"/>
    <cellStyle name="Comma 7 2 4 2 2 2" xfId="5310"/>
    <cellStyle name="Comma 7 2 4 2 2 2 2" xfId="10946"/>
    <cellStyle name="Comma 7 2 4 2 2 3" xfId="8136"/>
    <cellStyle name="Comma 7 2 4 2 3" xfId="3909"/>
    <cellStyle name="Comma 7 2 4 2 3 2" xfId="9545"/>
    <cellStyle name="Comma 7 2 4 2 4" xfId="6735"/>
    <cellStyle name="Comma 7 2 4 3" xfId="1804"/>
    <cellStyle name="Comma 7 2 4 3 2" xfId="4614"/>
    <cellStyle name="Comma 7 2 4 3 2 2" xfId="10250"/>
    <cellStyle name="Comma 7 2 4 3 3" xfId="7440"/>
    <cellStyle name="Comma 7 2 4 4" xfId="3213"/>
    <cellStyle name="Comma 7 2 4 4 2" xfId="8849"/>
    <cellStyle name="Comma 7 2 4 5" xfId="6039"/>
    <cellStyle name="Comma 7 2 5" xfId="755"/>
    <cellStyle name="Comma 7 2 5 2" xfId="2156"/>
    <cellStyle name="Comma 7 2 5 2 2" xfId="4966"/>
    <cellStyle name="Comma 7 2 5 2 2 2" xfId="10602"/>
    <cellStyle name="Comma 7 2 5 2 3" xfId="7792"/>
    <cellStyle name="Comma 7 2 5 3" xfId="3565"/>
    <cellStyle name="Comma 7 2 5 3 2" xfId="9201"/>
    <cellStyle name="Comma 7 2 5 4" xfId="6391"/>
    <cellStyle name="Comma 7 2 6" xfId="1460"/>
    <cellStyle name="Comma 7 2 6 2" xfId="4270"/>
    <cellStyle name="Comma 7 2 6 2 2" xfId="9906"/>
    <cellStyle name="Comma 7 2 6 3" xfId="7096"/>
    <cellStyle name="Comma 7 2 7" xfId="2869"/>
    <cellStyle name="Comma 7 2 7 2" xfId="8505"/>
    <cellStyle name="Comma 7 2 8" xfId="5695"/>
    <cellStyle name="Comma 7 3" xfId="107"/>
    <cellStyle name="Comma 7 3 2" xfId="279"/>
    <cellStyle name="Comma 7 3 2 2" xfId="623"/>
    <cellStyle name="Comma 7 3 2 2 2" xfId="1319"/>
    <cellStyle name="Comma 7 3 2 2 2 2" xfId="2720"/>
    <cellStyle name="Comma 7 3 2 2 2 2 2" xfId="5530"/>
    <cellStyle name="Comma 7 3 2 2 2 2 2 2" xfId="11166"/>
    <cellStyle name="Comma 7 3 2 2 2 2 3" xfId="8356"/>
    <cellStyle name="Comma 7 3 2 2 2 3" xfId="4129"/>
    <cellStyle name="Comma 7 3 2 2 2 3 2" xfId="9765"/>
    <cellStyle name="Comma 7 3 2 2 2 4" xfId="6955"/>
    <cellStyle name="Comma 7 3 2 2 3" xfId="2024"/>
    <cellStyle name="Comma 7 3 2 2 3 2" xfId="4834"/>
    <cellStyle name="Comma 7 3 2 2 3 2 2" xfId="10470"/>
    <cellStyle name="Comma 7 3 2 2 3 3" xfId="7660"/>
    <cellStyle name="Comma 7 3 2 2 4" xfId="3433"/>
    <cellStyle name="Comma 7 3 2 2 4 2" xfId="9069"/>
    <cellStyle name="Comma 7 3 2 2 5" xfId="6259"/>
    <cellStyle name="Comma 7 3 2 3" xfId="975"/>
    <cellStyle name="Comma 7 3 2 3 2" xfId="2376"/>
    <cellStyle name="Comma 7 3 2 3 2 2" xfId="5186"/>
    <cellStyle name="Comma 7 3 2 3 2 2 2" xfId="10822"/>
    <cellStyle name="Comma 7 3 2 3 2 3" xfId="8012"/>
    <cellStyle name="Comma 7 3 2 3 3" xfId="3785"/>
    <cellStyle name="Comma 7 3 2 3 3 2" xfId="9421"/>
    <cellStyle name="Comma 7 3 2 3 4" xfId="6611"/>
    <cellStyle name="Comma 7 3 2 4" xfId="1680"/>
    <cellStyle name="Comma 7 3 2 4 2" xfId="4490"/>
    <cellStyle name="Comma 7 3 2 4 2 2" xfId="10126"/>
    <cellStyle name="Comma 7 3 2 4 3" xfId="7316"/>
    <cellStyle name="Comma 7 3 2 5" xfId="3089"/>
    <cellStyle name="Comma 7 3 2 5 2" xfId="8725"/>
    <cellStyle name="Comma 7 3 2 6" xfId="5915"/>
    <cellStyle name="Comma 7 3 3" xfId="451"/>
    <cellStyle name="Comma 7 3 3 2" xfId="1147"/>
    <cellStyle name="Comma 7 3 3 2 2" xfId="2548"/>
    <cellStyle name="Comma 7 3 3 2 2 2" xfId="5358"/>
    <cellStyle name="Comma 7 3 3 2 2 2 2" xfId="10994"/>
    <cellStyle name="Comma 7 3 3 2 2 3" xfId="8184"/>
    <cellStyle name="Comma 7 3 3 2 3" xfId="3957"/>
    <cellStyle name="Comma 7 3 3 2 3 2" xfId="9593"/>
    <cellStyle name="Comma 7 3 3 2 4" xfId="6783"/>
    <cellStyle name="Comma 7 3 3 3" xfId="1852"/>
    <cellStyle name="Comma 7 3 3 3 2" xfId="4662"/>
    <cellStyle name="Comma 7 3 3 3 2 2" xfId="10298"/>
    <cellStyle name="Comma 7 3 3 3 3" xfId="7488"/>
    <cellStyle name="Comma 7 3 3 4" xfId="3261"/>
    <cellStyle name="Comma 7 3 3 4 2" xfId="8897"/>
    <cellStyle name="Comma 7 3 3 5" xfId="6087"/>
    <cellStyle name="Comma 7 3 4" xfId="803"/>
    <cellStyle name="Comma 7 3 4 2" xfId="2204"/>
    <cellStyle name="Comma 7 3 4 2 2" xfId="5014"/>
    <cellStyle name="Comma 7 3 4 2 2 2" xfId="10650"/>
    <cellStyle name="Comma 7 3 4 2 3" xfId="7840"/>
    <cellStyle name="Comma 7 3 4 3" xfId="3613"/>
    <cellStyle name="Comma 7 3 4 3 2" xfId="9249"/>
    <cellStyle name="Comma 7 3 4 4" xfId="6439"/>
    <cellStyle name="Comma 7 3 5" xfId="1508"/>
    <cellStyle name="Comma 7 3 5 2" xfId="4318"/>
    <cellStyle name="Comma 7 3 5 2 2" xfId="9954"/>
    <cellStyle name="Comma 7 3 5 3" xfId="7144"/>
    <cellStyle name="Comma 7 3 6" xfId="2917"/>
    <cellStyle name="Comma 7 3 6 2" xfId="8553"/>
    <cellStyle name="Comma 7 3 7" xfId="5743"/>
    <cellStyle name="Comma 7 4" xfId="199"/>
    <cellStyle name="Comma 7 4 2" xfId="543"/>
    <cellStyle name="Comma 7 4 2 2" xfId="1239"/>
    <cellStyle name="Comma 7 4 2 2 2" xfId="2640"/>
    <cellStyle name="Comma 7 4 2 2 2 2" xfId="5450"/>
    <cellStyle name="Comma 7 4 2 2 2 2 2" xfId="11086"/>
    <cellStyle name="Comma 7 4 2 2 2 3" xfId="8276"/>
    <cellStyle name="Comma 7 4 2 2 3" xfId="4049"/>
    <cellStyle name="Comma 7 4 2 2 3 2" xfId="9685"/>
    <cellStyle name="Comma 7 4 2 2 4" xfId="6875"/>
    <cellStyle name="Comma 7 4 2 3" xfId="1944"/>
    <cellStyle name="Comma 7 4 2 3 2" xfId="4754"/>
    <cellStyle name="Comma 7 4 2 3 2 2" xfId="10390"/>
    <cellStyle name="Comma 7 4 2 3 3" xfId="7580"/>
    <cellStyle name="Comma 7 4 2 4" xfId="3353"/>
    <cellStyle name="Comma 7 4 2 4 2" xfId="8989"/>
    <cellStyle name="Comma 7 4 2 5" xfId="6179"/>
    <cellStyle name="Comma 7 4 3" xfId="895"/>
    <cellStyle name="Comma 7 4 3 2" xfId="2296"/>
    <cellStyle name="Comma 7 4 3 2 2" xfId="5106"/>
    <cellStyle name="Comma 7 4 3 2 2 2" xfId="10742"/>
    <cellStyle name="Comma 7 4 3 2 3" xfId="7932"/>
    <cellStyle name="Comma 7 4 3 3" xfId="3705"/>
    <cellStyle name="Comma 7 4 3 3 2" xfId="9341"/>
    <cellStyle name="Comma 7 4 3 4" xfId="6531"/>
    <cellStyle name="Comma 7 4 4" xfId="1600"/>
    <cellStyle name="Comma 7 4 4 2" xfId="4410"/>
    <cellStyle name="Comma 7 4 4 2 2" xfId="10046"/>
    <cellStyle name="Comma 7 4 4 3" xfId="7236"/>
    <cellStyle name="Comma 7 4 5" xfId="3009"/>
    <cellStyle name="Comma 7 4 5 2" xfId="8645"/>
    <cellStyle name="Comma 7 4 6" xfId="5835"/>
    <cellStyle name="Comma 7 5" xfId="371"/>
    <cellStyle name="Comma 7 5 2" xfId="1067"/>
    <cellStyle name="Comma 7 5 2 2" xfId="2468"/>
    <cellStyle name="Comma 7 5 2 2 2" xfId="5278"/>
    <cellStyle name="Comma 7 5 2 2 2 2" xfId="10914"/>
    <cellStyle name="Comma 7 5 2 2 3" xfId="8104"/>
    <cellStyle name="Comma 7 5 2 3" xfId="3877"/>
    <cellStyle name="Comma 7 5 2 3 2" xfId="9513"/>
    <cellStyle name="Comma 7 5 2 4" xfId="6703"/>
    <cellStyle name="Comma 7 5 3" xfId="1772"/>
    <cellStyle name="Comma 7 5 3 2" xfId="4582"/>
    <cellStyle name="Comma 7 5 3 2 2" xfId="10218"/>
    <cellStyle name="Comma 7 5 3 3" xfId="7408"/>
    <cellStyle name="Comma 7 5 4" xfId="3181"/>
    <cellStyle name="Comma 7 5 4 2" xfId="8817"/>
    <cellStyle name="Comma 7 5 5" xfId="6007"/>
    <cellStyle name="Comma 7 6" xfId="723"/>
    <cellStyle name="Comma 7 6 2" xfId="2124"/>
    <cellStyle name="Comma 7 6 2 2" xfId="4934"/>
    <cellStyle name="Comma 7 6 2 2 2" xfId="10570"/>
    <cellStyle name="Comma 7 6 2 3" xfId="7760"/>
    <cellStyle name="Comma 7 6 3" xfId="3533"/>
    <cellStyle name="Comma 7 6 3 2" xfId="9169"/>
    <cellStyle name="Comma 7 6 4" xfId="6359"/>
    <cellStyle name="Comma 7 7" xfId="1428"/>
    <cellStyle name="Comma 7 7 2" xfId="4238"/>
    <cellStyle name="Comma 7 7 2 2" xfId="9874"/>
    <cellStyle name="Comma 7 7 3" xfId="7064"/>
    <cellStyle name="Comma 7 8" xfId="2837"/>
    <cellStyle name="Comma 7 8 2" xfId="8473"/>
    <cellStyle name="Comma 7 9" xfId="5663"/>
    <cellStyle name="Comma 8" xfId="29"/>
    <cellStyle name="Comma 8 2" xfId="61"/>
    <cellStyle name="Comma 8 2 2" xfId="141"/>
    <cellStyle name="Comma 8 2 2 2" xfId="313"/>
    <cellStyle name="Comma 8 2 2 2 2" xfId="657"/>
    <cellStyle name="Comma 8 2 2 2 2 2" xfId="1353"/>
    <cellStyle name="Comma 8 2 2 2 2 2 2" xfId="2754"/>
    <cellStyle name="Comma 8 2 2 2 2 2 2 2" xfId="5564"/>
    <cellStyle name="Comma 8 2 2 2 2 2 2 2 2" xfId="11200"/>
    <cellStyle name="Comma 8 2 2 2 2 2 2 3" xfId="8390"/>
    <cellStyle name="Comma 8 2 2 2 2 2 3" xfId="4163"/>
    <cellStyle name="Comma 8 2 2 2 2 2 3 2" xfId="9799"/>
    <cellStyle name="Comma 8 2 2 2 2 2 4" xfId="6989"/>
    <cellStyle name="Comma 8 2 2 2 2 3" xfId="2058"/>
    <cellStyle name="Comma 8 2 2 2 2 3 2" xfId="4868"/>
    <cellStyle name="Comma 8 2 2 2 2 3 2 2" xfId="10504"/>
    <cellStyle name="Comma 8 2 2 2 2 3 3" xfId="7694"/>
    <cellStyle name="Comma 8 2 2 2 2 4" xfId="3467"/>
    <cellStyle name="Comma 8 2 2 2 2 4 2" xfId="9103"/>
    <cellStyle name="Comma 8 2 2 2 2 5" xfId="6293"/>
    <cellStyle name="Comma 8 2 2 2 3" xfId="1009"/>
    <cellStyle name="Comma 8 2 2 2 3 2" xfId="2410"/>
    <cellStyle name="Comma 8 2 2 2 3 2 2" xfId="5220"/>
    <cellStyle name="Comma 8 2 2 2 3 2 2 2" xfId="10856"/>
    <cellStyle name="Comma 8 2 2 2 3 2 3" xfId="8046"/>
    <cellStyle name="Comma 8 2 2 2 3 3" xfId="3819"/>
    <cellStyle name="Comma 8 2 2 2 3 3 2" xfId="9455"/>
    <cellStyle name="Comma 8 2 2 2 3 4" xfId="6645"/>
    <cellStyle name="Comma 8 2 2 2 4" xfId="1714"/>
    <cellStyle name="Comma 8 2 2 2 4 2" xfId="4524"/>
    <cellStyle name="Comma 8 2 2 2 4 2 2" xfId="10160"/>
    <cellStyle name="Comma 8 2 2 2 4 3" xfId="7350"/>
    <cellStyle name="Comma 8 2 2 2 5" xfId="3123"/>
    <cellStyle name="Comma 8 2 2 2 5 2" xfId="8759"/>
    <cellStyle name="Comma 8 2 2 2 6" xfId="5949"/>
    <cellStyle name="Comma 8 2 2 3" xfId="485"/>
    <cellStyle name="Comma 8 2 2 3 2" xfId="1181"/>
    <cellStyle name="Comma 8 2 2 3 2 2" xfId="2582"/>
    <cellStyle name="Comma 8 2 2 3 2 2 2" xfId="5392"/>
    <cellStyle name="Comma 8 2 2 3 2 2 2 2" xfId="11028"/>
    <cellStyle name="Comma 8 2 2 3 2 2 3" xfId="8218"/>
    <cellStyle name="Comma 8 2 2 3 2 3" xfId="3991"/>
    <cellStyle name="Comma 8 2 2 3 2 3 2" xfId="9627"/>
    <cellStyle name="Comma 8 2 2 3 2 4" xfId="6817"/>
    <cellStyle name="Comma 8 2 2 3 3" xfId="1886"/>
    <cellStyle name="Comma 8 2 2 3 3 2" xfId="4696"/>
    <cellStyle name="Comma 8 2 2 3 3 2 2" xfId="10332"/>
    <cellStyle name="Comma 8 2 2 3 3 3" xfId="7522"/>
    <cellStyle name="Comma 8 2 2 3 4" xfId="3295"/>
    <cellStyle name="Comma 8 2 2 3 4 2" xfId="8931"/>
    <cellStyle name="Comma 8 2 2 3 5" xfId="6121"/>
    <cellStyle name="Comma 8 2 2 4" xfId="837"/>
    <cellStyle name="Comma 8 2 2 4 2" xfId="2238"/>
    <cellStyle name="Comma 8 2 2 4 2 2" xfId="5048"/>
    <cellStyle name="Comma 8 2 2 4 2 2 2" xfId="10684"/>
    <cellStyle name="Comma 8 2 2 4 2 3" xfId="7874"/>
    <cellStyle name="Comma 8 2 2 4 3" xfId="3647"/>
    <cellStyle name="Comma 8 2 2 4 3 2" xfId="9283"/>
    <cellStyle name="Comma 8 2 2 4 4" xfId="6473"/>
    <cellStyle name="Comma 8 2 2 5" xfId="1542"/>
    <cellStyle name="Comma 8 2 2 5 2" xfId="4352"/>
    <cellStyle name="Comma 8 2 2 5 2 2" xfId="9988"/>
    <cellStyle name="Comma 8 2 2 5 3" xfId="7178"/>
    <cellStyle name="Comma 8 2 2 6" xfId="2951"/>
    <cellStyle name="Comma 8 2 2 6 2" xfId="8587"/>
    <cellStyle name="Comma 8 2 2 7" xfId="5777"/>
    <cellStyle name="Comma 8 2 3" xfId="233"/>
    <cellStyle name="Comma 8 2 3 2" xfId="577"/>
    <cellStyle name="Comma 8 2 3 2 2" xfId="1273"/>
    <cellStyle name="Comma 8 2 3 2 2 2" xfId="2674"/>
    <cellStyle name="Comma 8 2 3 2 2 2 2" xfId="5484"/>
    <cellStyle name="Comma 8 2 3 2 2 2 2 2" xfId="11120"/>
    <cellStyle name="Comma 8 2 3 2 2 2 3" xfId="8310"/>
    <cellStyle name="Comma 8 2 3 2 2 3" xfId="4083"/>
    <cellStyle name="Comma 8 2 3 2 2 3 2" xfId="9719"/>
    <cellStyle name="Comma 8 2 3 2 2 4" xfId="6909"/>
    <cellStyle name="Comma 8 2 3 2 3" xfId="1978"/>
    <cellStyle name="Comma 8 2 3 2 3 2" xfId="4788"/>
    <cellStyle name="Comma 8 2 3 2 3 2 2" xfId="10424"/>
    <cellStyle name="Comma 8 2 3 2 3 3" xfId="7614"/>
    <cellStyle name="Comma 8 2 3 2 4" xfId="3387"/>
    <cellStyle name="Comma 8 2 3 2 4 2" xfId="9023"/>
    <cellStyle name="Comma 8 2 3 2 5" xfId="6213"/>
    <cellStyle name="Comma 8 2 3 3" xfId="929"/>
    <cellStyle name="Comma 8 2 3 3 2" xfId="2330"/>
    <cellStyle name="Comma 8 2 3 3 2 2" xfId="5140"/>
    <cellStyle name="Comma 8 2 3 3 2 2 2" xfId="10776"/>
    <cellStyle name="Comma 8 2 3 3 2 3" xfId="7966"/>
    <cellStyle name="Comma 8 2 3 3 3" xfId="3739"/>
    <cellStyle name="Comma 8 2 3 3 3 2" xfId="9375"/>
    <cellStyle name="Comma 8 2 3 3 4" xfId="6565"/>
    <cellStyle name="Comma 8 2 3 4" xfId="1634"/>
    <cellStyle name="Comma 8 2 3 4 2" xfId="4444"/>
    <cellStyle name="Comma 8 2 3 4 2 2" xfId="10080"/>
    <cellStyle name="Comma 8 2 3 4 3" xfId="7270"/>
    <cellStyle name="Comma 8 2 3 5" xfId="3043"/>
    <cellStyle name="Comma 8 2 3 5 2" xfId="8679"/>
    <cellStyle name="Comma 8 2 3 6" xfId="5869"/>
    <cellStyle name="Comma 8 2 4" xfId="405"/>
    <cellStyle name="Comma 8 2 4 2" xfId="1101"/>
    <cellStyle name="Comma 8 2 4 2 2" xfId="2502"/>
    <cellStyle name="Comma 8 2 4 2 2 2" xfId="5312"/>
    <cellStyle name="Comma 8 2 4 2 2 2 2" xfId="10948"/>
    <cellStyle name="Comma 8 2 4 2 2 3" xfId="8138"/>
    <cellStyle name="Comma 8 2 4 2 3" xfId="3911"/>
    <cellStyle name="Comma 8 2 4 2 3 2" xfId="9547"/>
    <cellStyle name="Comma 8 2 4 2 4" xfId="6737"/>
    <cellStyle name="Comma 8 2 4 3" xfId="1806"/>
    <cellStyle name="Comma 8 2 4 3 2" xfId="4616"/>
    <cellStyle name="Comma 8 2 4 3 2 2" xfId="10252"/>
    <cellStyle name="Comma 8 2 4 3 3" xfId="7442"/>
    <cellStyle name="Comma 8 2 4 4" xfId="3215"/>
    <cellStyle name="Comma 8 2 4 4 2" xfId="8851"/>
    <cellStyle name="Comma 8 2 4 5" xfId="6041"/>
    <cellStyle name="Comma 8 2 5" xfId="757"/>
    <cellStyle name="Comma 8 2 5 2" xfId="2158"/>
    <cellStyle name="Comma 8 2 5 2 2" xfId="4968"/>
    <cellStyle name="Comma 8 2 5 2 2 2" xfId="10604"/>
    <cellStyle name="Comma 8 2 5 2 3" xfId="7794"/>
    <cellStyle name="Comma 8 2 5 3" xfId="3567"/>
    <cellStyle name="Comma 8 2 5 3 2" xfId="9203"/>
    <cellStyle name="Comma 8 2 5 4" xfId="6393"/>
    <cellStyle name="Comma 8 2 6" xfId="1462"/>
    <cellStyle name="Comma 8 2 6 2" xfId="4272"/>
    <cellStyle name="Comma 8 2 6 2 2" xfId="9908"/>
    <cellStyle name="Comma 8 2 6 3" xfId="7098"/>
    <cellStyle name="Comma 8 2 7" xfId="2871"/>
    <cellStyle name="Comma 8 2 7 2" xfId="8507"/>
    <cellStyle name="Comma 8 2 8" xfId="5697"/>
    <cellStyle name="Comma 8 3" xfId="109"/>
    <cellStyle name="Comma 8 3 2" xfId="281"/>
    <cellStyle name="Comma 8 3 2 2" xfId="625"/>
    <cellStyle name="Comma 8 3 2 2 2" xfId="1321"/>
    <cellStyle name="Comma 8 3 2 2 2 2" xfId="2722"/>
    <cellStyle name="Comma 8 3 2 2 2 2 2" xfId="5532"/>
    <cellStyle name="Comma 8 3 2 2 2 2 2 2" xfId="11168"/>
    <cellStyle name="Comma 8 3 2 2 2 2 3" xfId="8358"/>
    <cellStyle name="Comma 8 3 2 2 2 3" xfId="4131"/>
    <cellStyle name="Comma 8 3 2 2 2 3 2" xfId="9767"/>
    <cellStyle name="Comma 8 3 2 2 2 4" xfId="6957"/>
    <cellStyle name="Comma 8 3 2 2 3" xfId="2026"/>
    <cellStyle name="Comma 8 3 2 2 3 2" xfId="4836"/>
    <cellStyle name="Comma 8 3 2 2 3 2 2" xfId="10472"/>
    <cellStyle name="Comma 8 3 2 2 3 3" xfId="7662"/>
    <cellStyle name="Comma 8 3 2 2 4" xfId="3435"/>
    <cellStyle name="Comma 8 3 2 2 4 2" xfId="9071"/>
    <cellStyle name="Comma 8 3 2 2 5" xfId="6261"/>
    <cellStyle name="Comma 8 3 2 3" xfId="977"/>
    <cellStyle name="Comma 8 3 2 3 2" xfId="2378"/>
    <cellStyle name="Comma 8 3 2 3 2 2" xfId="5188"/>
    <cellStyle name="Comma 8 3 2 3 2 2 2" xfId="10824"/>
    <cellStyle name="Comma 8 3 2 3 2 3" xfId="8014"/>
    <cellStyle name="Comma 8 3 2 3 3" xfId="3787"/>
    <cellStyle name="Comma 8 3 2 3 3 2" xfId="9423"/>
    <cellStyle name="Comma 8 3 2 3 4" xfId="6613"/>
    <cellStyle name="Comma 8 3 2 4" xfId="1682"/>
    <cellStyle name="Comma 8 3 2 4 2" xfId="4492"/>
    <cellStyle name="Comma 8 3 2 4 2 2" xfId="10128"/>
    <cellStyle name="Comma 8 3 2 4 3" xfId="7318"/>
    <cellStyle name="Comma 8 3 2 5" xfId="3091"/>
    <cellStyle name="Comma 8 3 2 5 2" xfId="8727"/>
    <cellStyle name="Comma 8 3 2 6" xfId="5917"/>
    <cellStyle name="Comma 8 3 3" xfId="453"/>
    <cellStyle name="Comma 8 3 3 2" xfId="1149"/>
    <cellStyle name="Comma 8 3 3 2 2" xfId="2550"/>
    <cellStyle name="Comma 8 3 3 2 2 2" xfId="5360"/>
    <cellStyle name="Comma 8 3 3 2 2 2 2" xfId="10996"/>
    <cellStyle name="Comma 8 3 3 2 2 3" xfId="8186"/>
    <cellStyle name="Comma 8 3 3 2 3" xfId="3959"/>
    <cellStyle name="Comma 8 3 3 2 3 2" xfId="9595"/>
    <cellStyle name="Comma 8 3 3 2 4" xfId="6785"/>
    <cellStyle name="Comma 8 3 3 3" xfId="1854"/>
    <cellStyle name="Comma 8 3 3 3 2" xfId="4664"/>
    <cellStyle name="Comma 8 3 3 3 2 2" xfId="10300"/>
    <cellStyle name="Comma 8 3 3 3 3" xfId="7490"/>
    <cellStyle name="Comma 8 3 3 4" xfId="3263"/>
    <cellStyle name="Comma 8 3 3 4 2" xfId="8899"/>
    <cellStyle name="Comma 8 3 3 5" xfId="6089"/>
    <cellStyle name="Comma 8 3 4" xfId="805"/>
    <cellStyle name="Comma 8 3 4 2" xfId="2206"/>
    <cellStyle name="Comma 8 3 4 2 2" xfId="5016"/>
    <cellStyle name="Comma 8 3 4 2 2 2" xfId="10652"/>
    <cellStyle name="Comma 8 3 4 2 3" xfId="7842"/>
    <cellStyle name="Comma 8 3 4 3" xfId="3615"/>
    <cellStyle name="Comma 8 3 4 3 2" xfId="9251"/>
    <cellStyle name="Comma 8 3 4 4" xfId="6441"/>
    <cellStyle name="Comma 8 3 5" xfId="1510"/>
    <cellStyle name="Comma 8 3 5 2" xfId="4320"/>
    <cellStyle name="Comma 8 3 5 2 2" xfId="9956"/>
    <cellStyle name="Comma 8 3 5 3" xfId="7146"/>
    <cellStyle name="Comma 8 3 6" xfId="2919"/>
    <cellStyle name="Comma 8 3 6 2" xfId="8555"/>
    <cellStyle name="Comma 8 3 7" xfId="5745"/>
    <cellStyle name="Comma 8 4" xfId="201"/>
    <cellStyle name="Comma 8 4 2" xfId="545"/>
    <cellStyle name="Comma 8 4 2 2" xfId="1241"/>
    <cellStyle name="Comma 8 4 2 2 2" xfId="2642"/>
    <cellStyle name="Comma 8 4 2 2 2 2" xfId="5452"/>
    <cellStyle name="Comma 8 4 2 2 2 2 2" xfId="11088"/>
    <cellStyle name="Comma 8 4 2 2 2 3" xfId="8278"/>
    <cellStyle name="Comma 8 4 2 2 3" xfId="4051"/>
    <cellStyle name="Comma 8 4 2 2 3 2" xfId="9687"/>
    <cellStyle name="Comma 8 4 2 2 4" xfId="6877"/>
    <cellStyle name="Comma 8 4 2 3" xfId="1946"/>
    <cellStyle name="Comma 8 4 2 3 2" xfId="4756"/>
    <cellStyle name="Comma 8 4 2 3 2 2" xfId="10392"/>
    <cellStyle name="Comma 8 4 2 3 3" xfId="7582"/>
    <cellStyle name="Comma 8 4 2 4" xfId="3355"/>
    <cellStyle name="Comma 8 4 2 4 2" xfId="8991"/>
    <cellStyle name="Comma 8 4 2 5" xfId="6181"/>
    <cellStyle name="Comma 8 4 3" xfId="897"/>
    <cellStyle name="Comma 8 4 3 2" xfId="2298"/>
    <cellStyle name="Comma 8 4 3 2 2" xfId="5108"/>
    <cellStyle name="Comma 8 4 3 2 2 2" xfId="10744"/>
    <cellStyle name="Comma 8 4 3 2 3" xfId="7934"/>
    <cellStyle name="Comma 8 4 3 3" xfId="3707"/>
    <cellStyle name="Comma 8 4 3 3 2" xfId="9343"/>
    <cellStyle name="Comma 8 4 3 4" xfId="6533"/>
    <cellStyle name="Comma 8 4 4" xfId="1602"/>
    <cellStyle name="Comma 8 4 4 2" xfId="4412"/>
    <cellStyle name="Comma 8 4 4 2 2" xfId="10048"/>
    <cellStyle name="Comma 8 4 4 3" xfId="7238"/>
    <cellStyle name="Comma 8 4 5" xfId="3011"/>
    <cellStyle name="Comma 8 4 5 2" xfId="8647"/>
    <cellStyle name="Comma 8 4 6" xfId="5837"/>
    <cellStyle name="Comma 8 5" xfId="373"/>
    <cellStyle name="Comma 8 5 2" xfId="1069"/>
    <cellStyle name="Comma 8 5 2 2" xfId="2470"/>
    <cellStyle name="Comma 8 5 2 2 2" xfId="5280"/>
    <cellStyle name="Comma 8 5 2 2 2 2" xfId="10916"/>
    <cellStyle name="Comma 8 5 2 2 3" xfId="8106"/>
    <cellStyle name="Comma 8 5 2 3" xfId="3879"/>
    <cellStyle name="Comma 8 5 2 3 2" xfId="9515"/>
    <cellStyle name="Comma 8 5 2 4" xfId="6705"/>
    <cellStyle name="Comma 8 5 3" xfId="1774"/>
    <cellStyle name="Comma 8 5 3 2" xfId="4584"/>
    <cellStyle name="Comma 8 5 3 2 2" xfId="10220"/>
    <cellStyle name="Comma 8 5 3 3" xfId="7410"/>
    <cellStyle name="Comma 8 5 4" xfId="3183"/>
    <cellStyle name="Comma 8 5 4 2" xfId="8819"/>
    <cellStyle name="Comma 8 5 5" xfId="6009"/>
    <cellStyle name="Comma 8 6" xfId="725"/>
    <cellStyle name="Comma 8 6 2" xfId="2126"/>
    <cellStyle name="Comma 8 6 2 2" xfId="4936"/>
    <cellStyle name="Comma 8 6 2 2 2" xfId="10572"/>
    <cellStyle name="Comma 8 6 2 3" xfId="7762"/>
    <cellStyle name="Comma 8 6 3" xfId="3535"/>
    <cellStyle name="Comma 8 6 3 2" xfId="9171"/>
    <cellStyle name="Comma 8 6 4" xfId="6361"/>
    <cellStyle name="Comma 8 7" xfId="1430"/>
    <cellStyle name="Comma 8 7 2" xfId="4240"/>
    <cellStyle name="Comma 8 7 2 2" xfId="9876"/>
    <cellStyle name="Comma 8 7 3" xfId="7066"/>
    <cellStyle name="Comma 8 8" xfId="2839"/>
    <cellStyle name="Comma 8 8 2" xfId="8475"/>
    <cellStyle name="Comma 8 9" xfId="5665"/>
    <cellStyle name="Comma 9" xfId="31"/>
    <cellStyle name="Comma 9 2" xfId="63"/>
    <cellStyle name="Comma 9 2 2" xfId="143"/>
    <cellStyle name="Comma 9 2 2 2" xfId="315"/>
    <cellStyle name="Comma 9 2 2 2 2" xfId="659"/>
    <cellStyle name="Comma 9 2 2 2 2 2" xfId="1355"/>
    <cellStyle name="Comma 9 2 2 2 2 2 2" xfId="2756"/>
    <cellStyle name="Comma 9 2 2 2 2 2 2 2" xfId="5566"/>
    <cellStyle name="Comma 9 2 2 2 2 2 2 2 2" xfId="11202"/>
    <cellStyle name="Comma 9 2 2 2 2 2 2 3" xfId="8392"/>
    <cellStyle name="Comma 9 2 2 2 2 2 3" xfId="4165"/>
    <cellStyle name="Comma 9 2 2 2 2 2 3 2" xfId="9801"/>
    <cellStyle name="Comma 9 2 2 2 2 2 4" xfId="6991"/>
    <cellStyle name="Comma 9 2 2 2 2 3" xfId="2060"/>
    <cellStyle name="Comma 9 2 2 2 2 3 2" xfId="4870"/>
    <cellStyle name="Comma 9 2 2 2 2 3 2 2" xfId="10506"/>
    <cellStyle name="Comma 9 2 2 2 2 3 3" xfId="7696"/>
    <cellStyle name="Comma 9 2 2 2 2 4" xfId="3469"/>
    <cellStyle name="Comma 9 2 2 2 2 4 2" xfId="9105"/>
    <cellStyle name="Comma 9 2 2 2 2 5" xfId="6295"/>
    <cellStyle name="Comma 9 2 2 2 3" xfId="1011"/>
    <cellStyle name="Comma 9 2 2 2 3 2" xfId="2412"/>
    <cellStyle name="Comma 9 2 2 2 3 2 2" xfId="5222"/>
    <cellStyle name="Comma 9 2 2 2 3 2 2 2" xfId="10858"/>
    <cellStyle name="Comma 9 2 2 2 3 2 3" xfId="8048"/>
    <cellStyle name="Comma 9 2 2 2 3 3" xfId="3821"/>
    <cellStyle name="Comma 9 2 2 2 3 3 2" xfId="9457"/>
    <cellStyle name="Comma 9 2 2 2 3 4" xfId="6647"/>
    <cellStyle name="Comma 9 2 2 2 4" xfId="1716"/>
    <cellStyle name="Comma 9 2 2 2 4 2" xfId="4526"/>
    <cellStyle name="Comma 9 2 2 2 4 2 2" xfId="10162"/>
    <cellStyle name="Comma 9 2 2 2 4 3" xfId="7352"/>
    <cellStyle name="Comma 9 2 2 2 5" xfId="3125"/>
    <cellStyle name="Comma 9 2 2 2 5 2" xfId="8761"/>
    <cellStyle name="Comma 9 2 2 2 6" xfId="5951"/>
    <cellStyle name="Comma 9 2 2 3" xfId="487"/>
    <cellStyle name="Comma 9 2 2 3 2" xfId="1183"/>
    <cellStyle name="Comma 9 2 2 3 2 2" xfId="2584"/>
    <cellStyle name="Comma 9 2 2 3 2 2 2" xfId="5394"/>
    <cellStyle name="Comma 9 2 2 3 2 2 2 2" xfId="11030"/>
    <cellStyle name="Comma 9 2 2 3 2 2 3" xfId="8220"/>
    <cellStyle name="Comma 9 2 2 3 2 3" xfId="3993"/>
    <cellStyle name="Comma 9 2 2 3 2 3 2" xfId="9629"/>
    <cellStyle name="Comma 9 2 2 3 2 4" xfId="6819"/>
    <cellStyle name="Comma 9 2 2 3 3" xfId="1888"/>
    <cellStyle name="Comma 9 2 2 3 3 2" xfId="4698"/>
    <cellStyle name="Comma 9 2 2 3 3 2 2" xfId="10334"/>
    <cellStyle name="Comma 9 2 2 3 3 3" xfId="7524"/>
    <cellStyle name="Comma 9 2 2 3 4" xfId="3297"/>
    <cellStyle name="Comma 9 2 2 3 4 2" xfId="8933"/>
    <cellStyle name="Comma 9 2 2 3 5" xfId="6123"/>
    <cellStyle name="Comma 9 2 2 4" xfId="839"/>
    <cellStyle name="Comma 9 2 2 4 2" xfId="2240"/>
    <cellStyle name="Comma 9 2 2 4 2 2" xfId="5050"/>
    <cellStyle name="Comma 9 2 2 4 2 2 2" xfId="10686"/>
    <cellStyle name="Comma 9 2 2 4 2 3" xfId="7876"/>
    <cellStyle name="Comma 9 2 2 4 3" xfId="3649"/>
    <cellStyle name="Comma 9 2 2 4 3 2" xfId="9285"/>
    <cellStyle name="Comma 9 2 2 4 4" xfId="6475"/>
    <cellStyle name="Comma 9 2 2 5" xfId="1544"/>
    <cellStyle name="Comma 9 2 2 5 2" xfId="4354"/>
    <cellStyle name="Comma 9 2 2 5 2 2" xfId="9990"/>
    <cellStyle name="Comma 9 2 2 5 3" xfId="7180"/>
    <cellStyle name="Comma 9 2 2 6" xfId="2953"/>
    <cellStyle name="Comma 9 2 2 6 2" xfId="8589"/>
    <cellStyle name="Comma 9 2 2 7" xfId="5779"/>
    <cellStyle name="Comma 9 2 3" xfId="235"/>
    <cellStyle name="Comma 9 2 3 2" xfId="579"/>
    <cellStyle name="Comma 9 2 3 2 2" xfId="1275"/>
    <cellStyle name="Comma 9 2 3 2 2 2" xfId="2676"/>
    <cellStyle name="Comma 9 2 3 2 2 2 2" xfId="5486"/>
    <cellStyle name="Comma 9 2 3 2 2 2 2 2" xfId="11122"/>
    <cellStyle name="Comma 9 2 3 2 2 2 3" xfId="8312"/>
    <cellStyle name="Comma 9 2 3 2 2 3" xfId="4085"/>
    <cellStyle name="Comma 9 2 3 2 2 3 2" xfId="9721"/>
    <cellStyle name="Comma 9 2 3 2 2 4" xfId="6911"/>
    <cellStyle name="Comma 9 2 3 2 3" xfId="1980"/>
    <cellStyle name="Comma 9 2 3 2 3 2" xfId="4790"/>
    <cellStyle name="Comma 9 2 3 2 3 2 2" xfId="10426"/>
    <cellStyle name="Comma 9 2 3 2 3 3" xfId="7616"/>
    <cellStyle name="Comma 9 2 3 2 4" xfId="3389"/>
    <cellStyle name="Comma 9 2 3 2 4 2" xfId="9025"/>
    <cellStyle name="Comma 9 2 3 2 5" xfId="6215"/>
    <cellStyle name="Comma 9 2 3 3" xfId="931"/>
    <cellStyle name="Comma 9 2 3 3 2" xfId="2332"/>
    <cellStyle name="Comma 9 2 3 3 2 2" xfId="5142"/>
    <cellStyle name="Comma 9 2 3 3 2 2 2" xfId="10778"/>
    <cellStyle name="Comma 9 2 3 3 2 3" xfId="7968"/>
    <cellStyle name="Comma 9 2 3 3 3" xfId="3741"/>
    <cellStyle name="Comma 9 2 3 3 3 2" xfId="9377"/>
    <cellStyle name="Comma 9 2 3 3 4" xfId="6567"/>
    <cellStyle name="Comma 9 2 3 4" xfId="1636"/>
    <cellStyle name="Comma 9 2 3 4 2" xfId="4446"/>
    <cellStyle name="Comma 9 2 3 4 2 2" xfId="10082"/>
    <cellStyle name="Comma 9 2 3 4 3" xfId="7272"/>
    <cellStyle name="Comma 9 2 3 5" xfId="3045"/>
    <cellStyle name="Comma 9 2 3 5 2" xfId="8681"/>
    <cellStyle name="Comma 9 2 3 6" xfId="5871"/>
    <cellStyle name="Comma 9 2 4" xfId="407"/>
    <cellStyle name="Comma 9 2 4 2" xfId="1103"/>
    <cellStyle name="Comma 9 2 4 2 2" xfId="2504"/>
    <cellStyle name="Comma 9 2 4 2 2 2" xfId="5314"/>
    <cellStyle name="Comma 9 2 4 2 2 2 2" xfId="10950"/>
    <cellStyle name="Comma 9 2 4 2 2 3" xfId="8140"/>
    <cellStyle name="Comma 9 2 4 2 3" xfId="3913"/>
    <cellStyle name="Comma 9 2 4 2 3 2" xfId="9549"/>
    <cellStyle name="Comma 9 2 4 2 4" xfId="6739"/>
    <cellStyle name="Comma 9 2 4 3" xfId="1808"/>
    <cellStyle name="Comma 9 2 4 3 2" xfId="4618"/>
    <cellStyle name="Comma 9 2 4 3 2 2" xfId="10254"/>
    <cellStyle name="Comma 9 2 4 3 3" xfId="7444"/>
    <cellStyle name="Comma 9 2 4 4" xfId="3217"/>
    <cellStyle name="Comma 9 2 4 4 2" xfId="8853"/>
    <cellStyle name="Comma 9 2 4 5" xfId="6043"/>
    <cellStyle name="Comma 9 2 5" xfId="759"/>
    <cellStyle name="Comma 9 2 5 2" xfId="2160"/>
    <cellStyle name="Comma 9 2 5 2 2" xfId="4970"/>
    <cellStyle name="Comma 9 2 5 2 2 2" xfId="10606"/>
    <cellStyle name="Comma 9 2 5 2 3" xfId="7796"/>
    <cellStyle name="Comma 9 2 5 3" xfId="3569"/>
    <cellStyle name="Comma 9 2 5 3 2" xfId="9205"/>
    <cellStyle name="Comma 9 2 5 4" xfId="6395"/>
    <cellStyle name="Comma 9 2 6" xfId="1464"/>
    <cellStyle name="Comma 9 2 6 2" xfId="4274"/>
    <cellStyle name="Comma 9 2 6 2 2" xfId="9910"/>
    <cellStyle name="Comma 9 2 6 3" xfId="7100"/>
    <cellStyle name="Comma 9 2 7" xfId="2873"/>
    <cellStyle name="Comma 9 2 7 2" xfId="8509"/>
    <cellStyle name="Comma 9 2 8" xfId="5699"/>
    <cellStyle name="Comma 9 3" xfId="111"/>
    <cellStyle name="Comma 9 3 2" xfId="283"/>
    <cellStyle name="Comma 9 3 2 2" xfId="627"/>
    <cellStyle name="Comma 9 3 2 2 2" xfId="1323"/>
    <cellStyle name="Comma 9 3 2 2 2 2" xfId="2724"/>
    <cellStyle name="Comma 9 3 2 2 2 2 2" xfId="5534"/>
    <cellStyle name="Comma 9 3 2 2 2 2 2 2" xfId="11170"/>
    <cellStyle name="Comma 9 3 2 2 2 2 3" xfId="8360"/>
    <cellStyle name="Comma 9 3 2 2 2 3" xfId="4133"/>
    <cellStyle name="Comma 9 3 2 2 2 3 2" xfId="9769"/>
    <cellStyle name="Comma 9 3 2 2 2 4" xfId="6959"/>
    <cellStyle name="Comma 9 3 2 2 3" xfId="2028"/>
    <cellStyle name="Comma 9 3 2 2 3 2" xfId="4838"/>
    <cellStyle name="Comma 9 3 2 2 3 2 2" xfId="10474"/>
    <cellStyle name="Comma 9 3 2 2 3 3" xfId="7664"/>
    <cellStyle name="Comma 9 3 2 2 4" xfId="3437"/>
    <cellStyle name="Comma 9 3 2 2 4 2" xfId="9073"/>
    <cellStyle name="Comma 9 3 2 2 5" xfId="6263"/>
    <cellStyle name="Comma 9 3 2 3" xfId="979"/>
    <cellStyle name="Comma 9 3 2 3 2" xfId="2380"/>
    <cellStyle name="Comma 9 3 2 3 2 2" xfId="5190"/>
    <cellStyle name="Comma 9 3 2 3 2 2 2" xfId="10826"/>
    <cellStyle name="Comma 9 3 2 3 2 3" xfId="8016"/>
    <cellStyle name="Comma 9 3 2 3 3" xfId="3789"/>
    <cellStyle name="Comma 9 3 2 3 3 2" xfId="9425"/>
    <cellStyle name="Comma 9 3 2 3 4" xfId="6615"/>
    <cellStyle name="Comma 9 3 2 4" xfId="1684"/>
    <cellStyle name="Comma 9 3 2 4 2" xfId="4494"/>
    <cellStyle name="Comma 9 3 2 4 2 2" xfId="10130"/>
    <cellStyle name="Comma 9 3 2 4 3" xfId="7320"/>
    <cellStyle name="Comma 9 3 2 5" xfId="3093"/>
    <cellStyle name="Comma 9 3 2 5 2" xfId="8729"/>
    <cellStyle name="Comma 9 3 2 6" xfId="5919"/>
    <cellStyle name="Comma 9 3 3" xfId="455"/>
    <cellStyle name="Comma 9 3 3 2" xfId="1151"/>
    <cellStyle name="Comma 9 3 3 2 2" xfId="2552"/>
    <cellStyle name="Comma 9 3 3 2 2 2" xfId="5362"/>
    <cellStyle name="Comma 9 3 3 2 2 2 2" xfId="10998"/>
    <cellStyle name="Comma 9 3 3 2 2 3" xfId="8188"/>
    <cellStyle name="Comma 9 3 3 2 3" xfId="3961"/>
    <cellStyle name="Comma 9 3 3 2 3 2" xfId="9597"/>
    <cellStyle name="Comma 9 3 3 2 4" xfId="6787"/>
    <cellStyle name="Comma 9 3 3 3" xfId="1856"/>
    <cellStyle name="Comma 9 3 3 3 2" xfId="4666"/>
    <cellStyle name="Comma 9 3 3 3 2 2" xfId="10302"/>
    <cellStyle name="Comma 9 3 3 3 3" xfId="7492"/>
    <cellStyle name="Comma 9 3 3 4" xfId="3265"/>
    <cellStyle name="Comma 9 3 3 4 2" xfId="8901"/>
    <cellStyle name="Comma 9 3 3 5" xfId="6091"/>
    <cellStyle name="Comma 9 3 4" xfId="807"/>
    <cellStyle name="Comma 9 3 4 2" xfId="2208"/>
    <cellStyle name="Comma 9 3 4 2 2" xfId="5018"/>
    <cellStyle name="Comma 9 3 4 2 2 2" xfId="10654"/>
    <cellStyle name="Comma 9 3 4 2 3" xfId="7844"/>
    <cellStyle name="Comma 9 3 4 3" xfId="3617"/>
    <cellStyle name="Comma 9 3 4 3 2" xfId="9253"/>
    <cellStyle name="Comma 9 3 4 4" xfId="6443"/>
    <cellStyle name="Comma 9 3 5" xfId="1512"/>
    <cellStyle name="Comma 9 3 5 2" xfId="4322"/>
    <cellStyle name="Comma 9 3 5 2 2" xfId="9958"/>
    <cellStyle name="Comma 9 3 5 3" xfId="7148"/>
    <cellStyle name="Comma 9 3 6" xfId="2921"/>
    <cellStyle name="Comma 9 3 6 2" xfId="8557"/>
    <cellStyle name="Comma 9 3 7" xfId="5747"/>
    <cellStyle name="Comma 9 4" xfId="203"/>
    <cellStyle name="Comma 9 4 2" xfId="547"/>
    <cellStyle name="Comma 9 4 2 2" xfId="1243"/>
    <cellStyle name="Comma 9 4 2 2 2" xfId="2644"/>
    <cellStyle name="Comma 9 4 2 2 2 2" xfId="5454"/>
    <cellStyle name="Comma 9 4 2 2 2 2 2" xfId="11090"/>
    <cellStyle name="Comma 9 4 2 2 2 3" xfId="8280"/>
    <cellStyle name="Comma 9 4 2 2 3" xfId="4053"/>
    <cellStyle name="Comma 9 4 2 2 3 2" xfId="9689"/>
    <cellStyle name="Comma 9 4 2 2 4" xfId="6879"/>
    <cellStyle name="Comma 9 4 2 3" xfId="1948"/>
    <cellStyle name="Comma 9 4 2 3 2" xfId="4758"/>
    <cellStyle name="Comma 9 4 2 3 2 2" xfId="10394"/>
    <cellStyle name="Comma 9 4 2 3 3" xfId="7584"/>
    <cellStyle name="Comma 9 4 2 4" xfId="3357"/>
    <cellStyle name="Comma 9 4 2 4 2" xfId="8993"/>
    <cellStyle name="Comma 9 4 2 5" xfId="6183"/>
    <cellStyle name="Comma 9 4 3" xfId="899"/>
    <cellStyle name="Comma 9 4 3 2" xfId="2300"/>
    <cellStyle name="Comma 9 4 3 2 2" xfId="5110"/>
    <cellStyle name="Comma 9 4 3 2 2 2" xfId="10746"/>
    <cellStyle name="Comma 9 4 3 2 3" xfId="7936"/>
    <cellStyle name="Comma 9 4 3 3" xfId="3709"/>
    <cellStyle name="Comma 9 4 3 3 2" xfId="9345"/>
    <cellStyle name="Comma 9 4 3 4" xfId="6535"/>
    <cellStyle name="Comma 9 4 4" xfId="1604"/>
    <cellStyle name="Comma 9 4 4 2" xfId="4414"/>
    <cellStyle name="Comma 9 4 4 2 2" xfId="10050"/>
    <cellStyle name="Comma 9 4 4 3" xfId="7240"/>
    <cellStyle name="Comma 9 4 5" xfId="3013"/>
    <cellStyle name="Comma 9 4 5 2" xfId="8649"/>
    <cellStyle name="Comma 9 4 6" xfId="5839"/>
    <cellStyle name="Comma 9 5" xfId="375"/>
    <cellStyle name="Comma 9 5 2" xfId="1071"/>
    <cellStyle name="Comma 9 5 2 2" xfId="2472"/>
    <cellStyle name="Comma 9 5 2 2 2" xfId="5282"/>
    <cellStyle name="Comma 9 5 2 2 2 2" xfId="10918"/>
    <cellStyle name="Comma 9 5 2 2 3" xfId="8108"/>
    <cellStyle name="Comma 9 5 2 3" xfId="3881"/>
    <cellStyle name="Comma 9 5 2 3 2" xfId="9517"/>
    <cellStyle name="Comma 9 5 2 4" xfId="6707"/>
    <cellStyle name="Comma 9 5 3" xfId="1776"/>
    <cellStyle name="Comma 9 5 3 2" xfId="4586"/>
    <cellStyle name="Comma 9 5 3 2 2" xfId="10222"/>
    <cellStyle name="Comma 9 5 3 3" xfId="7412"/>
    <cellStyle name="Comma 9 5 4" xfId="3185"/>
    <cellStyle name="Comma 9 5 4 2" xfId="8821"/>
    <cellStyle name="Comma 9 5 5" xfId="6011"/>
    <cellStyle name="Comma 9 6" xfId="727"/>
    <cellStyle name="Comma 9 6 2" xfId="2128"/>
    <cellStyle name="Comma 9 6 2 2" xfId="4938"/>
    <cellStyle name="Comma 9 6 2 2 2" xfId="10574"/>
    <cellStyle name="Comma 9 6 2 3" xfId="7764"/>
    <cellStyle name="Comma 9 6 3" xfId="3537"/>
    <cellStyle name="Comma 9 6 3 2" xfId="9173"/>
    <cellStyle name="Comma 9 6 4" xfId="6363"/>
    <cellStyle name="Comma 9 7" xfId="1432"/>
    <cellStyle name="Comma 9 7 2" xfId="4242"/>
    <cellStyle name="Comma 9 7 2 2" xfId="9878"/>
    <cellStyle name="Comma 9 7 3" xfId="7068"/>
    <cellStyle name="Comma 9 8" xfId="2841"/>
    <cellStyle name="Comma 9 8 2" xfId="8477"/>
    <cellStyle name="Comma 9 9" xfId="5667"/>
    <cellStyle name="Currency 10" xfId="699"/>
    <cellStyle name="Currency 10 2" xfId="2100"/>
    <cellStyle name="Currency 10 2 2" xfId="4910"/>
    <cellStyle name="Currency 10 2 2 2" xfId="10546"/>
    <cellStyle name="Currency 10 2 3" xfId="7736"/>
    <cellStyle name="Currency 10 3" xfId="3509"/>
    <cellStyle name="Currency 10 3 2" xfId="9145"/>
    <cellStyle name="Currency 10 4" xfId="6335"/>
    <cellStyle name="Currency 11" xfId="1394"/>
    <cellStyle name="Currency 11 2" xfId="2795"/>
    <cellStyle name="Currency 11 2 2" xfId="5605"/>
    <cellStyle name="Currency 11 2 2 2" xfId="11241"/>
    <cellStyle name="Currency 11 2 3" xfId="8431"/>
    <cellStyle name="Currency 11 3" xfId="4204"/>
    <cellStyle name="Currency 11 3 2" xfId="9840"/>
    <cellStyle name="Currency 11 4" xfId="7030"/>
    <cellStyle name="Currency 12" xfId="1404"/>
    <cellStyle name="Currency 12 2" xfId="4214"/>
    <cellStyle name="Currency 12 2 2" xfId="9850"/>
    <cellStyle name="Currency 12 3" xfId="7040"/>
    <cellStyle name="Currency 13" xfId="2804"/>
    <cellStyle name="Currency 13 2" xfId="5614"/>
    <cellStyle name="Currency 13 2 2" xfId="11250"/>
    <cellStyle name="Currency 13 3" xfId="8440"/>
    <cellStyle name="Currency 14" xfId="2813"/>
    <cellStyle name="Currency 14 2" xfId="8449"/>
    <cellStyle name="Currency 15" xfId="5621"/>
    <cellStyle name="Currency 15 2" xfId="11257"/>
    <cellStyle name="Currency 16" xfId="5639"/>
    <cellStyle name="Currency 2" xfId="15"/>
    <cellStyle name="Currency 2 2" xfId="47"/>
    <cellStyle name="Currency 2 2 2" xfId="127"/>
    <cellStyle name="Currency 2 2 2 2" xfId="299"/>
    <cellStyle name="Currency 2 2 2 2 2" xfId="643"/>
    <cellStyle name="Currency 2 2 2 2 2 2" xfId="1339"/>
    <cellStyle name="Currency 2 2 2 2 2 2 2" xfId="2740"/>
    <cellStyle name="Currency 2 2 2 2 2 2 2 2" xfId="5550"/>
    <cellStyle name="Currency 2 2 2 2 2 2 2 2 2" xfId="11186"/>
    <cellStyle name="Currency 2 2 2 2 2 2 2 3" xfId="8376"/>
    <cellStyle name="Currency 2 2 2 2 2 2 3" xfId="4149"/>
    <cellStyle name="Currency 2 2 2 2 2 2 3 2" xfId="9785"/>
    <cellStyle name="Currency 2 2 2 2 2 2 4" xfId="6975"/>
    <cellStyle name="Currency 2 2 2 2 2 3" xfId="2044"/>
    <cellStyle name="Currency 2 2 2 2 2 3 2" xfId="4854"/>
    <cellStyle name="Currency 2 2 2 2 2 3 2 2" xfId="10490"/>
    <cellStyle name="Currency 2 2 2 2 2 3 3" xfId="7680"/>
    <cellStyle name="Currency 2 2 2 2 2 4" xfId="3453"/>
    <cellStyle name="Currency 2 2 2 2 2 4 2" xfId="9089"/>
    <cellStyle name="Currency 2 2 2 2 2 5" xfId="6279"/>
    <cellStyle name="Currency 2 2 2 2 3" xfId="995"/>
    <cellStyle name="Currency 2 2 2 2 3 2" xfId="2396"/>
    <cellStyle name="Currency 2 2 2 2 3 2 2" xfId="5206"/>
    <cellStyle name="Currency 2 2 2 2 3 2 2 2" xfId="10842"/>
    <cellStyle name="Currency 2 2 2 2 3 2 3" xfId="8032"/>
    <cellStyle name="Currency 2 2 2 2 3 3" xfId="3805"/>
    <cellStyle name="Currency 2 2 2 2 3 3 2" xfId="9441"/>
    <cellStyle name="Currency 2 2 2 2 3 4" xfId="6631"/>
    <cellStyle name="Currency 2 2 2 2 4" xfId="1700"/>
    <cellStyle name="Currency 2 2 2 2 4 2" xfId="4510"/>
    <cellStyle name="Currency 2 2 2 2 4 2 2" xfId="10146"/>
    <cellStyle name="Currency 2 2 2 2 4 3" xfId="7336"/>
    <cellStyle name="Currency 2 2 2 2 5" xfId="3109"/>
    <cellStyle name="Currency 2 2 2 2 5 2" xfId="8745"/>
    <cellStyle name="Currency 2 2 2 2 6" xfId="5935"/>
    <cellStyle name="Currency 2 2 2 3" xfId="471"/>
    <cellStyle name="Currency 2 2 2 3 2" xfId="1167"/>
    <cellStyle name="Currency 2 2 2 3 2 2" xfId="2568"/>
    <cellStyle name="Currency 2 2 2 3 2 2 2" xfId="5378"/>
    <cellStyle name="Currency 2 2 2 3 2 2 2 2" xfId="11014"/>
    <cellStyle name="Currency 2 2 2 3 2 2 3" xfId="8204"/>
    <cellStyle name="Currency 2 2 2 3 2 3" xfId="3977"/>
    <cellStyle name="Currency 2 2 2 3 2 3 2" xfId="9613"/>
    <cellStyle name="Currency 2 2 2 3 2 4" xfId="6803"/>
    <cellStyle name="Currency 2 2 2 3 3" xfId="1872"/>
    <cellStyle name="Currency 2 2 2 3 3 2" xfId="4682"/>
    <cellStyle name="Currency 2 2 2 3 3 2 2" xfId="10318"/>
    <cellStyle name="Currency 2 2 2 3 3 3" xfId="7508"/>
    <cellStyle name="Currency 2 2 2 3 4" xfId="3281"/>
    <cellStyle name="Currency 2 2 2 3 4 2" xfId="8917"/>
    <cellStyle name="Currency 2 2 2 3 5" xfId="6107"/>
    <cellStyle name="Currency 2 2 2 4" xfId="823"/>
    <cellStyle name="Currency 2 2 2 4 2" xfId="2224"/>
    <cellStyle name="Currency 2 2 2 4 2 2" xfId="5034"/>
    <cellStyle name="Currency 2 2 2 4 2 2 2" xfId="10670"/>
    <cellStyle name="Currency 2 2 2 4 2 3" xfId="7860"/>
    <cellStyle name="Currency 2 2 2 4 3" xfId="3633"/>
    <cellStyle name="Currency 2 2 2 4 3 2" xfId="9269"/>
    <cellStyle name="Currency 2 2 2 4 4" xfId="6459"/>
    <cellStyle name="Currency 2 2 2 5" xfId="1528"/>
    <cellStyle name="Currency 2 2 2 5 2" xfId="4338"/>
    <cellStyle name="Currency 2 2 2 5 2 2" xfId="9974"/>
    <cellStyle name="Currency 2 2 2 5 3" xfId="7164"/>
    <cellStyle name="Currency 2 2 2 6" xfId="2937"/>
    <cellStyle name="Currency 2 2 2 6 2" xfId="8573"/>
    <cellStyle name="Currency 2 2 2 7" xfId="5763"/>
    <cellStyle name="Currency 2 2 3" xfId="219"/>
    <cellStyle name="Currency 2 2 3 2" xfId="563"/>
    <cellStyle name="Currency 2 2 3 2 2" xfId="1259"/>
    <cellStyle name="Currency 2 2 3 2 2 2" xfId="2660"/>
    <cellStyle name="Currency 2 2 3 2 2 2 2" xfId="5470"/>
    <cellStyle name="Currency 2 2 3 2 2 2 2 2" xfId="11106"/>
    <cellStyle name="Currency 2 2 3 2 2 2 3" xfId="8296"/>
    <cellStyle name="Currency 2 2 3 2 2 3" xfId="4069"/>
    <cellStyle name="Currency 2 2 3 2 2 3 2" xfId="9705"/>
    <cellStyle name="Currency 2 2 3 2 2 4" xfId="6895"/>
    <cellStyle name="Currency 2 2 3 2 3" xfId="1964"/>
    <cellStyle name="Currency 2 2 3 2 3 2" xfId="4774"/>
    <cellStyle name="Currency 2 2 3 2 3 2 2" xfId="10410"/>
    <cellStyle name="Currency 2 2 3 2 3 3" xfId="7600"/>
    <cellStyle name="Currency 2 2 3 2 4" xfId="3373"/>
    <cellStyle name="Currency 2 2 3 2 4 2" xfId="9009"/>
    <cellStyle name="Currency 2 2 3 2 5" xfId="6199"/>
    <cellStyle name="Currency 2 2 3 3" xfId="915"/>
    <cellStyle name="Currency 2 2 3 3 2" xfId="2316"/>
    <cellStyle name="Currency 2 2 3 3 2 2" xfId="5126"/>
    <cellStyle name="Currency 2 2 3 3 2 2 2" xfId="10762"/>
    <cellStyle name="Currency 2 2 3 3 2 3" xfId="7952"/>
    <cellStyle name="Currency 2 2 3 3 3" xfId="3725"/>
    <cellStyle name="Currency 2 2 3 3 3 2" xfId="9361"/>
    <cellStyle name="Currency 2 2 3 3 4" xfId="6551"/>
    <cellStyle name="Currency 2 2 3 4" xfId="1620"/>
    <cellStyle name="Currency 2 2 3 4 2" xfId="4430"/>
    <cellStyle name="Currency 2 2 3 4 2 2" xfId="10066"/>
    <cellStyle name="Currency 2 2 3 4 3" xfId="7256"/>
    <cellStyle name="Currency 2 2 3 5" xfId="3029"/>
    <cellStyle name="Currency 2 2 3 5 2" xfId="8665"/>
    <cellStyle name="Currency 2 2 3 6" xfId="5855"/>
    <cellStyle name="Currency 2 2 4" xfId="391"/>
    <cellStyle name="Currency 2 2 4 2" xfId="1087"/>
    <cellStyle name="Currency 2 2 4 2 2" xfId="2488"/>
    <cellStyle name="Currency 2 2 4 2 2 2" xfId="5298"/>
    <cellStyle name="Currency 2 2 4 2 2 2 2" xfId="10934"/>
    <cellStyle name="Currency 2 2 4 2 2 3" xfId="8124"/>
    <cellStyle name="Currency 2 2 4 2 3" xfId="3897"/>
    <cellStyle name="Currency 2 2 4 2 3 2" xfId="9533"/>
    <cellStyle name="Currency 2 2 4 2 4" xfId="6723"/>
    <cellStyle name="Currency 2 2 4 3" xfId="1792"/>
    <cellStyle name="Currency 2 2 4 3 2" xfId="4602"/>
    <cellStyle name="Currency 2 2 4 3 2 2" xfId="10238"/>
    <cellStyle name="Currency 2 2 4 3 3" xfId="7428"/>
    <cellStyle name="Currency 2 2 4 4" xfId="3201"/>
    <cellStyle name="Currency 2 2 4 4 2" xfId="8837"/>
    <cellStyle name="Currency 2 2 4 5" xfId="6027"/>
    <cellStyle name="Currency 2 2 5" xfId="743"/>
    <cellStyle name="Currency 2 2 5 2" xfId="2144"/>
    <cellStyle name="Currency 2 2 5 2 2" xfId="4954"/>
    <cellStyle name="Currency 2 2 5 2 2 2" xfId="10590"/>
    <cellStyle name="Currency 2 2 5 2 3" xfId="7780"/>
    <cellStyle name="Currency 2 2 5 3" xfId="3553"/>
    <cellStyle name="Currency 2 2 5 3 2" xfId="9189"/>
    <cellStyle name="Currency 2 2 5 4" xfId="6379"/>
    <cellStyle name="Currency 2 2 6" xfId="1448"/>
    <cellStyle name="Currency 2 2 6 2" xfId="4258"/>
    <cellStyle name="Currency 2 2 6 2 2" xfId="9894"/>
    <cellStyle name="Currency 2 2 6 3" xfId="7084"/>
    <cellStyle name="Currency 2 2 7" xfId="2857"/>
    <cellStyle name="Currency 2 2 7 2" xfId="8493"/>
    <cellStyle name="Currency 2 2 8" xfId="5683"/>
    <cellStyle name="Currency 2 3" xfId="95"/>
    <cellStyle name="Currency 2 3 2" xfId="267"/>
    <cellStyle name="Currency 2 3 2 2" xfId="611"/>
    <cellStyle name="Currency 2 3 2 2 2" xfId="1307"/>
    <cellStyle name="Currency 2 3 2 2 2 2" xfId="2708"/>
    <cellStyle name="Currency 2 3 2 2 2 2 2" xfId="5518"/>
    <cellStyle name="Currency 2 3 2 2 2 2 2 2" xfId="11154"/>
    <cellStyle name="Currency 2 3 2 2 2 2 3" xfId="8344"/>
    <cellStyle name="Currency 2 3 2 2 2 3" xfId="4117"/>
    <cellStyle name="Currency 2 3 2 2 2 3 2" xfId="9753"/>
    <cellStyle name="Currency 2 3 2 2 2 4" xfId="6943"/>
    <cellStyle name="Currency 2 3 2 2 3" xfId="2012"/>
    <cellStyle name="Currency 2 3 2 2 3 2" xfId="4822"/>
    <cellStyle name="Currency 2 3 2 2 3 2 2" xfId="10458"/>
    <cellStyle name="Currency 2 3 2 2 3 3" xfId="7648"/>
    <cellStyle name="Currency 2 3 2 2 4" xfId="3421"/>
    <cellStyle name="Currency 2 3 2 2 4 2" xfId="9057"/>
    <cellStyle name="Currency 2 3 2 2 5" xfId="6247"/>
    <cellStyle name="Currency 2 3 2 3" xfId="963"/>
    <cellStyle name="Currency 2 3 2 3 2" xfId="2364"/>
    <cellStyle name="Currency 2 3 2 3 2 2" xfId="5174"/>
    <cellStyle name="Currency 2 3 2 3 2 2 2" xfId="10810"/>
    <cellStyle name="Currency 2 3 2 3 2 3" xfId="8000"/>
    <cellStyle name="Currency 2 3 2 3 3" xfId="3773"/>
    <cellStyle name="Currency 2 3 2 3 3 2" xfId="9409"/>
    <cellStyle name="Currency 2 3 2 3 4" xfId="6599"/>
    <cellStyle name="Currency 2 3 2 4" xfId="1668"/>
    <cellStyle name="Currency 2 3 2 4 2" xfId="4478"/>
    <cellStyle name="Currency 2 3 2 4 2 2" xfId="10114"/>
    <cellStyle name="Currency 2 3 2 4 3" xfId="7304"/>
    <cellStyle name="Currency 2 3 2 5" xfId="3077"/>
    <cellStyle name="Currency 2 3 2 5 2" xfId="8713"/>
    <cellStyle name="Currency 2 3 2 6" xfId="5903"/>
    <cellStyle name="Currency 2 3 3" xfId="439"/>
    <cellStyle name="Currency 2 3 3 2" xfId="1135"/>
    <cellStyle name="Currency 2 3 3 2 2" xfId="2536"/>
    <cellStyle name="Currency 2 3 3 2 2 2" xfId="5346"/>
    <cellStyle name="Currency 2 3 3 2 2 2 2" xfId="10982"/>
    <cellStyle name="Currency 2 3 3 2 2 3" xfId="8172"/>
    <cellStyle name="Currency 2 3 3 2 3" xfId="3945"/>
    <cellStyle name="Currency 2 3 3 2 3 2" xfId="9581"/>
    <cellStyle name="Currency 2 3 3 2 4" xfId="6771"/>
    <cellStyle name="Currency 2 3 3 3" xfId="1840"/>
    <cellStyle name="Currency 2 3 3 3 2" xfId="4650"/>
    <cellStyle name="Currency 2 3 3 3 2 2" xfId="10286"/>
    <cellStyle name="Currency 2 3 3 3 3" xfId="7476"/>
    <cellStyle name="Currency 2 3 3 4" xfId="3249"/>
    <cellStyle name="Currency 2 3 3 4 2" xfId="8885"/>
    <cellStyle name="Currency 2 3 3 5" xfId="6075"/>
    <cellStyle name="Currency 2 3 4" xfId="791"/>
    <cellStyle name="Currency 2 3 4 2" xfId="2192"/>
    <cellStyle name="Currency 2 3 4 2 2" xfId="5002"/>
    <cellStyle name="Currency 2 3 4 2 2 2" xfId="10638"/>
    <cellStyle name="Currency 2 3 4 2 3" xfId="7828"/>
    <cellStyle name="Currency 2 3 4 3" xfId="3601"/>
    <cellStyle name="Currency 2 3 4 3 2" xfId="9237"/>
    <cellStyle name="Currency 2 3 4 4" xfId="6427"/>
    <cellStyle name="Currency 2 3 5" xfId="1496"/>
    <cellStyle name="Currency 2 3 5 2" xfId="4306"/>
    <cellStyle name="Currency 2 3 5 2 2" xfId="9942"/>
    <cellStyle name="Currency 2 3 5 3" xfId="7132"/>
    <cellStyle name="Currency 2 3 6" xfId="2905"/>
    <cellStyle name="Currency 2 3 6 2" xfId="8541"/>
    <cellStyle name="Currency 2 3 7" xfId="5731"/>
    <cellStyle name="Currency 2 4" xfId="187"/>
    <cellStyle name="Currency 2 4 2" xfId="531"/>
    <cellStyle name="Currency 2 4 2 2" xfId="1227"/>
    <cellStyle name="Currency 2 4 2 2 2" xfId="2628"/>
    <cellStyle name="Currency 2 4 2 2 2 2" xfId="5438"/>
    <cellStyle name="Currency 2 4 2 2 2 2 2" xfId="11074"/>
    <cellStyle name="Currency 2 4 2 2 2 3" xfId="8264"/>
    <cellStyle name="Currency 2 4 2 2 3" xfId="4037"/>
    <cellStyle name="Currency 2 4 2 2 3 2" xfId="9673"/>
    <cellStyle name="Currency 2 4 2 2 4" xfId="6863"/>
    <cellStyle name="Currency 2 4 2 3" xfId="1932"/>
    <cellStyle name="Currency 2 4 2 3 2" xfId="4742"/>
    <cellStyle name="Currency 2 4 2 3 2 2" xfId="10378"/>
    <cellStyle name="Currency 2 4 2 3 3" xfId="7568"/>
    <cellStyle name="Currency 2 4 2 4" xfId="3341"/>
    <cellStyle name="Currency 2 4 2 4 2" xfId="8977"/>
    <cellStyle name="Currency 2 4 2 5" xfId="6167"/>
    <cellStyle name="Currency 2 4 3" xfId="883"/>
    <cellStyle name="Currency 2 4 3 2" xfId="2284"/>
    <cellStyle name="Currency 2 4 3 2 2" xfId="5094"/>
    <cellStyle name="Currency 2 4 3 2 2 2" xfId="10730"/>
    <cellStyle name="Currency 2 4 3 2 3" xfId="7920"/>
    <cellStyle name="Currency 2 4 3 3" xfId="3693"/>
    <cellStyle name="Currency 2 4 3 3 2" xfId="9329"/>
    <cellStyle name="Currency 2 4 3 4" xfId="6519"/>
    <cellStyle name="Currency 2 4 4" xfId="1588"/>
    <cellStyle name="Currency 2 4 4 2" xfId="4398"/>
    <cellStyle name="Currency 2 4 4 2 2" xfId="10034"/>
    <cellStyle name="Currency 2 4 4 3" xfId="7224"/>
    <cellStyle name="Currency 2 4 5" xfId="2997"/>
    <cellStyle name="Currency 2 4 5 2" xfId="8633"/>
    <cellStyle name="Currency 2 4 6" xfId="5823"/>
    <cellStyle name="Currency 2 5" xfId="359"/>
    <cellStyle name="Currency 2 5 2" xfId="1055"/>
    <cellStyle name="Currency 2 5 2 2" xfId="2456"/>
    <cellStyle name="Currency 2 5 2 2 2" xfId="5266"/>
    <cellStyle name="Currency 2 5 2 2 2 2" xfId="10902"/>
    <cellStyle name="Currency 2 5 2 2 3" xfId="8092"/>
    <cellStyle name="Currency 2 5 2 3" xfId="3865"/>
    <cellStyle name="Currency 2 5 2 3 2" xfId="9501"/>
    <cellStyle name="Currency 2 5 2 4" xfId="6691"/>
    <cellStyle name="Currency 2 5 3" xfId="1760"/>
    <cellStyle name="Currency 2 5 3 2" xfId="4570"/>
    <cellStyle name="Currency 2 5 3 2 2" xfId="10206"/>
    <cellStyle name="Currency 2 5 3 3" xfId="7396"/>
    <cellStyle name="Currency 2 5 4" xfId="3169"/>
    <cellStyle name="Currency 2 5 4 2" xfId="8805"/>
    <cellStyle name="Currency 2 5 5" xfId="5995"/>
    <cellStyle name="Currency 2 6" xfId="711"/>
    <cellStyle name="Currency 2 6 2" xfId="2112"/>
    <cellStyle name="Currency 2 6 2 2" xfId="4922"/>
    <cellStyle name="Currency 2 6 2 2 2" xfId="10558"/>
    <cellStyle name="Currency 2 6 2 3" xfId="7748"/>
    <cellStyle name="Currency 2 6 3" xfId="3521"/>
    <cellStyle name="Currency 2 6 3 2" xfId="9157"/>
    <cellStyle name="Currency 2 6 4" xfId="6347"/>
    <cellStyle name="Currency 2 7" xfId="1416"/>
    <cellStyle name="Currency 2 7 2" xfId="4226"/>
    <cellStyle name="Currency 2 7 2 2" xfId="9862"/>
    <cellStyle name="Currency 2 7 3" xfId="7052"/>
    <cellStyle name="Currency 2 8" xfId="2825"/>
    <cellStyle name="Currency 2 8 2" xfId="8461"/>
    <cellStyle name="Currency 2 9" xfId="5651"/>
    <cellStyle name="Currency 3" xfId="25"/>
    <cellStyle name="Currency 3 2" xfId="57"/>
    <cellStyle name="Currency 3 2 2" xfId="137"/>
    <cellStyle name="Currency 3 2 2 2" xfId="309"/>
    <cellStyle name="Currency 3 2 2 2 2" xfId="653"/>
    <cellStyle name="Currency 3 2 2 2 2 2" xfId="1349"/>
    <cellStyle name="Currency 3 2 2 2 2 2 2" xfId="2750"/>
    <cellStyle name="Currency 3 2 2 2 2 2 2 2" xfId="5560"/>
    <cellStyle name="Currency 3 2 2 2 2 2 2 2 2" xfId="11196"/>
    <cellStyle name="Currency 3 2 2 2 2 2 2 3" xfId="8386"/>
    <cellStyle name="Currency 3 2 2 2 2 2 3" xfId="4159"/>
    <cellStyle name="Currency 3 2 2 2 2 2 3 2" xfId="9795"/>
    <cellStyle name="Currency 3 2 2 2 2 2 4" xfId="6985"/>
    <cellStyle name="Currency 3 2 2 2 2 3" xfId="2054"/>
    <cellStyle name="Currency 3 2 2 2 2 3 2" xfId="4864"/>
    <cellStyle name="Currency 3 2 2 2 2 3 2 2" xfId="10500"/>
    <cellStyle name="Currency 3 2 2 2 2 3 3" xfId="7690"/>
    <cellStyle name="Currency 3 2 2 2 2 4" xfId="3463"/>
    <cellStyle name="Currency 3 2 2 2 2 4 2" xfId="9099"/>
    <cellStyle name="Currency 3 2 2 2 2 5" xfId="6289"/>
    <cellStyle name="Currency 3 2 2 2 3" xfId="1005"/>
    <cellStyle name="Currency 3 2 2 2 3 2" xfId="2406"/>
    <cellStyle name="Currency 3 2 2 2 3 2 2" xfId="5216"/>
    <cellStyle name="Currency 3 2 2 2 3 2 2 2" xfId="10852"/>
    <cellStyle name="Currency 3 2 2 2 3 2 3" xfId="8042"/>
    <cellStyle name="Currency 3 2 2 2 3 3" xfId="3815"/>
    <cellStyle name="Currency 3 2 2 2 3 3 2" xfId="9451"/>
    <cellStyle name="Currency 3 2 2 2 3 4" xfId="6641"/>
    <cellStyle name="Currency 3 2 2 2 4" xfId="1710"/>
    <cellStyle name="Currency 3 2 2 2 4 2" xfId="4520"/>
    <cellStyle name="Currency 3 2 2 2 4 2 2" xfId="10156"/>
    <cellStyle name="Currency 3 2 2 2 4 3" xfId="7346"/>
    <cellStyle name="Currency 3 2 2 2 5" xfId="3119"/>
    <cellStyle name="Currency 3 2 2 2 5 2" xfId="8755"/>
    <cellStyle name="Currency 3 2 2 2 6" xfId="5945"/>
    <cellStyle name="Currency 3 2 2 3" xfId="481"/>
    <cellStyle name="Currency 3 2 2 3 2" xfId="1177"/>
    <cellStyle name="Currency 3 2 2 3 2 2" xfId="2578"/>
    <cellStyle name="Currency 3 2 2 3 2 2 2" xfId="5388"/>
    <cellStyle name="Currency 3 2 2 3 2 2 2 2" xfId="11024"/>
    <cellStyle name="Currency 3 2 2 3 2 2 3" xfId="8214"/>
    <cellStyle name="Currency 3 2 2 3 2 3" xfId="3987"/>
    <cellStyle name="Currency 3 2 2 3 2 3 2" xfId="9623"/>
    <cellStyle name="Currency 3 2 2 3 2 4" xfId="6813"/>
    <cellStyle name="Currency 3 2 2 3 3" xfId="1882"/>
    <cellStyle name="Currency 3 2 2 3 3 2" xfId="4692"/>
    <cellStyle name="Currency 3 2 2 3 3 2 2" xfId="10328"/>
    <cellStyle name="Currency 3 2 2 3 3 3" xfId="7518"/>
    <cellStyle name="Currency 3 2 2 3 4" xfId="3291"/>
    <cellStyle name="Currency 3 2 2 3 4 2" xfId="8927"/>
    <cellStyle name="Currency 3 2 2 3 5" xfId="6117"/>
    <cellStyle name="Currency 3 2 2 4" xfId="833"/>
    <cellStyle name="Currency 3 2 2 4 2" xfId="2234"/>
    <cellStyle name="Currency 3 2 2 4 2 2" xfId="5044"/>
    <cellStyle name="Currency 3 2 2 4 2 2 2" xfId="10680"/>
    <cellStyle name="Currency 3 2 2 4 2 3" xfId="7870"/>
    <cellStyle name="Currency 3 2 2 4 3" xfId="3643"/>
    <cellStyle name="Currency 3 2 2 4 3 2" xfId="9279"/>
    <cellStyle name="Currency 3 2 2 4 4" xfId="6469"/>
    <cellStyle name="Currency 3 2 2 5" xfId="1538"/>
    <cellStyle name="Currency 3 2 2 5 2" xfId="4348"/>
    <cellStyle name="Currency 3 2 2 5 2 2" xfId="9984"/>
    <cellStyle name="Currency 3 2 2 5 3" xfId="7174"/>
    <cellStyle name="Currency 3 2 2 6" xfId="2947"/>
    <cellStyle name="Currency 3 2 2 6 2" xfId="8583"/>
    <cellStyle name="Currency 3 2 2 7" xfId="5773"/>
    <cellStyle name="Currency 3 2 3" xfId="229"/>
    <cellStyle name="Currency 3 2 3 2" xfId="573"/>
    <cellStyle name="Currency 3 2 3 2 2" xfId="1269"/>
    <cellStyle name="Currency 3 2 3 2 2 2" xfId="2670"/>
    <cellStyle name="Currency 3 2 3 2 2 2 2" xfId="5480"/>
    <cellStyle name="Currency 3 2 3 2 2 2 2 2" xfId="11116"/>
    <cellStyle name="Currency 3 2 3 2 2 2 3" xfId="8306"/>
    <cellStyle name="Currency 3 2 3 2 2 3" xfId="4079"/>
    <cellStyle name="Currency 3 2 3 2 2 3 2" xfId="9715"/>
    <cellStyle name="Currency 3 2 3 2 2 4" xfId="6905"/>
    <cellStyle name="Currency 3 2 3 2 3" xfId="1974"/>
    <cellStyle name="Currency 3 2 3 2 3 2" xfId="4784"/>
    <cellStyle name="Currency 3 2 3 2 3 2 2" xfId="10420"/>
    <cellStyle name="Currency 3 2 3 2 3 3" xfId="7610"/>
    <cellStyle name="Currency 3 2 3 2 4" xfId="3383"/>
    <cellStyle name="Currency 3 2 3 2 4 2" xfId="9019"/>
    <cellStyle name="Currency 3 2 3 2 5" xfId="6209"/>
    <cellStyle name="Currency 3 2 3 3" xfId="925"/>
    <cellStyle name="Currency 3 2 3 3 2" xfId="2326"/>
    <cellStyle name="Currency 3 2 3 3 2 2" xfId="5136"/>
    <cellStyle name="Currency 3 2 3 3 2 2 2" xfId="10772"/>
    <cellStyle name="Currency 3 2 3 3 2 3" xfId="7962"/>
    <cellStyle name="Currency 3 2 3 3 3" xfId="3735"/>
    <cellStyle name="Currency 3 2 3 3 3 2" xfId="9371"/>
    <cellStyle name="Currency 3 2 3 3 4" xfId="6561"/>
    <cellStyle name="Currency 3 2 3 4" xfId="1630"/>
    <cellStyle name="Currency 3 2 3 4 2" xfId="4440"/>
    <cellStyle name="Currency 3 2 3 4 2 2" xfId="10076"/>
    <cellStyle name="Currency 3 2 3 4 3" xfId="7266"/>
    <cellStyle name="Currency 3 2 3 5" xfId="3039"/>
    <cellStyle name="Currency 3 2 3 5 2" xfId="8675"/>
    <cellStyle name="Currency 3 2 3 6" xfId="5865"/>
    <cellStyle name="Currency 3 2 4" xfId="401"/>
    <cellStyle name="Currency 3 2 4 2" xfId="1097"/>
    <cellStyle name="Currency 3 2 4 2 2" xfId="2498"/>
    <cellStyle name="Currency 3 2 4 2 2 2" xfId="5308"/>
    <cellStyle name="Currency 3 2 4 2 2 2 2" xfId="10944"/>
    <cellStyle name="Currency 3 2 4 2 2 3" xfId="8134"/>
    <cellStyle name="Currency 3 2 4 2 3" xfId="3907"/>
    <cellStyle name="Currency 3 2 4 2 3 2" xfId="9543"/>
    <cellStyle name="Currency 3 2 4 2 4" xfId="6733"/>
    <cellStyle name="Currency 3 2 4 3" xfId="1802"/>
    <cellStyle name="Currency 3 2 4 3 2" xfId="4612"/>
    <cellStyle name="Currency 3 2 4 3 2 2" xfId="10248"/>
    <cellStyle name="Currency 3 2 4 3 3" xfId="7438"/>
    <cellStyle name="Currency 3 2 4 4" xfId="3211"/>
    <cellStyle name="Currency 3 2 4 4 2" xfId="8847"/>
    <cellStyle name="Currency 3 2 4 5" xfId="6037"/>
    <cellStyle name="Currency 3 2 5" xfId="753"/>
    <cellStyle name="Currency 3 2 5 2" xfId="2154"/>
    <cellStyle name="Currency 3 2 5 2 2" xfId="4964"/>
    <cellStyle name="Currency 3 2 5 2 2 2" xfId="10600"/>
    <cellStyle name="Currency 3 2 5 2 3" xfId="7790"/>
    <cellStyle name="Currency 3 2 5 3" xfId="3563"/>
    <cellStyle name="Currency 3 2 5 3 2" xfId="9199"/>
    <cellStyle name="Currency 3 2 5 4" xfId="6389"/>
    <cellStyle name="Currency 3 2 6" xfId="1458"/>
    <cellStyle name="Currency 3 2 6 2" xfId="4268"/>
    <cellStyle name="Currency 3 2 6 2 2" xfId="9904"/>
    <cellStyle name="Currency 3 2 6 3" xfId="7094"/>
    <cellStyle name="Currency 3 2 7" xfId="2867"/>
    <cellStyle name="Currency 3 2 7 2" xfId="8503"/>
    <cellStyle name="Currency 3 2 8" xfId="5693"/>
    <cellStyle name="Currency 3 3" xfId="105"/>
    <cellStyle name="Currency 3 3 2" xfId="277"/>
    <cellStyle name="Currency 3 3 2 2" xfId="621"/>
    <cellStyle name="Currency 3 3 2 2 2" xfId="1317"/>
    <cellStyle name="Currency 3 3 2 2 2 2" xfId="2718"/>
    <cellStyle name="Currency 3 3 2 2 2 2 2" xfId="5528"/>
    <cellStyle name="Currency 3 3 2 2 2 2 2 2" xfId="11164"/>
    <cellStyle name="Currency 3 3 2 2 2 2 3" xfId="8354"/>
    <cellStyle name="Currency 3 3 2 2 2 3" xfId="4127"/>
    <cellStyle name="Currency 3 3 2 2 2 3 2" xfId="9763"/>
    <cellStyle name="Currency 3 3 2 2 2 4" xfId="6953"/>
    <cellStyle name="Currency 3 3 2 2 3" xfId="2022"/>
    <cellStyle name="Currency 3 3 2 2 3 2" xfId="4832"/>
    <cellStyle name="Currency 3 3 2 2 3 2 2" xfId="10468"/>
    <cellStyle name="Currency 3 3 2 2 3 3" xfId="7658"/>
    <cellStyle name="Currency 3 3 2 2 4" xfId="3431"/>
    <cellStyle name="Currency 3 3 2 2 4 2" xfId="9067"/>
    <cellStyle name="Currency 3 3 2 2 5" xfId="6257"/>
    <cellStyle name="Currency 3 3 2 3" xfId="973"/>
    <cellStyle name="Currency 3 3 2 3 2" xfId="2374"/>
    <cellStyle name="Currency 3 3 2 3 2 2" xfId="5184"/>
    <cellStyle name="Currency 3 3 2 3 2 2 2" xfId="10820"/>
    <cellStyle name="Currency 3 3 2 3 2 3" xfId="8010"/>
    <cellStyle name="Currency 3 3 2 3 3" xfId="3783"/>
    <cellStyle name="Currency 3 3 2 3 3 2" xfId="9419"/>
    <cellStyle name="Currency 3 3 2 3 4" xfId="6609"/>
    <cellStyle name="Currency 3 3 2 4" xfId="1678"/>
    <cellStyle name="Currency 3 3 2 4 2" xfId="4488"/>
    <cellStyle name="Currency 3 3 2 4 2 2" xfId="10124"/>
    <cellStyle name="Currency 3 3 2 4 3" xfId="7314"/>
    <cellStyle name="Currency 3 3 2 5" xfId="3087"/>
    <cellStyle name="Currency 3 3 2 5 2" xfId="8723"/>
    <cellStyle name="Currency 3 3 2 6" xfId="5913"/>
    <cellStyle name="Currency 3 3 3" xfId="449"/>
    <cellStyle name="Currency 3 3 3 2" xfId="1145"/>
    <cellStyle name="Currency 3 3 3 2 2" xfId="2546"/>
    <cellStyle name="Currency 3 3 3 2 2 2" xfId="5356"/>
    <cellStyle name="Currency 3 3 3 2 2 2 2" xfId="10992"/>
    <cellStyle name="Currency 3 3 3 2 2 3" xfId="8182"/>
    <cellStyle name="Currency 3 3 3 2 3" xfId="3955"/>
    <cellStyle name="Currency 3 3 3 2 3 2" xfId="9591"/>
    <cellStyle name="Currency 3 3 3 2 4" xfId="6781"/>
    <cellStyle name="Currency 3 3 3 3" xfId="1850"/>
    <cellStyle name="Currency 3 3 3 3 2" xfId="4660"/>
    <cellStyle name="Currency 3 3 3 3 2 2" xfId="10296"/>
    <cellStyle name="Currency 3 3 3 3 3" xfId="7486"/>
    <cellStyle name="Currency 3 3 3 4" xfId="3259"/>
    <cellStyle name="Currency 3 3 3 4 2" xfId="8895"/>
    <cellStyle name="Currency 3 3 3 5" xfId="6085"/>
    <cellStyle name="Currency 3 3 4" xfId="801"/>
    <cellStyle name="Currency 3 3 4 2" xfId="2202"/>
    <cellStyle name="Currency 3 3 4 2 2" xfId="5012"/>
    <cellStyle name="Currency 3 3 4 2 2 2" xfId="10648"/>
    <cellStyle name="Currency 3 3 4 2 3" xfId="7838"/>
    <cellStyle name="Currency 3 3 4 3" xfId="3611"/>
    <cellStyle name="Currency 3 3 4 3 2" xfId="9247"/>
    <cellStyle name="Currency 3 3 4 4" xfId="6437"/>
    <cellStyle name="Currency 3 3 5" xfId="1506"/>
    <cellStyle name="Currency 3 3 5 2" xfId="4316"/>
    <cellStyle name="Currency 3 3 5 2 2" xfId="9952"/>
    <cellStyle name="Currency 3 3 5 3" xfId="7142"/>
    <cellStyle name="Currency 3 3 6" xfId="2915"/>
    <cellStyle name="Currency 3 3 6 2" xfId="8551"/>
    <cellStyle name="Currency 3 3 7" xfId="5741"/>
    <cellStyle name="Currency 3 4" xfId="197"/>
    <cellStyle name="Currency 3 4 2" xfId="541"/>
    <cellStyle name="Currency 3 4 2 2" xfId="1237"/>
    <cellStyle name="Currency 3 4 2 2 2" xfId="2638"/>
    <cellStyle name="Currency 3 4 2 2 2 2" xfId="5448"/>
    <cellStyle name="Currency 3 4 2 2 2 2 2" xfId="11084"/>
    <cellStyle name="Currency 3 4 2 2 2 3" xfId="8274"/>
    <cellStyle name="Currency 3 4 2 2 3" xfId="4047"/>
    <cellStyle name="Currency 3 4 2 2 3 2" xfId="9683"/>
    <cellStyle name="Currency 3 4 2 2 4" xfId="6873"/>
    <cellStyle name="Currency 3 4 2 3" xfId="1942"/>
    <cellStyle name="Currency 3 4 2 3 2" xfId="4752"/>
    <cellStyle name="Currency 3 4 2 3 2 2" xfId="10388"/>
    <cellStyle name="Currency 3 4 2 3 3" xfId="7578"/>
    <cellStyle name="Currency 3 4 2 4" xfId="3351"/>
    <cellStyle name="Currency 3 4 2 4 2" xfId="8987"/>
    <cellStyle name="Currency 3 4 2 5" xfId="6177"/>
    <cellStyle name="Currency 3 4 3" xfId="893"/>
    <cellStyle name="Currency 3 4 3 2" xfId="2294"/>
    <cellStyle name="Currency 3 4 3 2 2" xfId="5104"/>
    <cellStyle name="Currency 3 4 3 2 2 2" xfId="10740"/>
    <cellStyle name="Currency 3 4 3 2 3" xfId="7930"/>
    <cellStyle name="Currency 3 4 3 3" xfId="3703"/>
    <cellStyle name="Currency 3 4 3 3 2" xfId="9339"/>
    <cellStyle name="Currency 3 4 3 4" xfId="6529"/>
    <cellStyle name="Currency 3 4 4" xfId="1598"/>
    <cellStyle name="Currency 3 4 4 2" xfId="4408"/>
    <cellStyle name="Currency 3 4 4 2 2" xfId="10044"/>
    <cellStyle name="Currency 3 4 4 3" xfId="7234"/>
    <cellStyle name="Currency 3 4 5" xfId="3007"/>
    <cellStyle name="Currency 3 4 5 2" xfId="8643"/>
    <cellStyle name="Currency 3 4 6" xfId="5833"/>
    <cellStyle name="Currency 3 5" xfId="369"/>
    <cellStyle name="Currency 3 5 2" xfId="1065"/>
    <cellStyle name="Currency 3 5 2 2" xfId="2466"/>
    <cellStyle name="Currency 3 5 2 2 2" xfId="5276"/>
    <cellStyle name="Currency 3 5 2 2 2 2" xfId="10912"/>
    <cellStyle name="Currency 3 5 2 2 3" xfId="8102"/>
    <cellStyle name="Currency 3 5 2 3" xfId="3875"/>
    <cellStyle name="Currency 3 5 2 3 2" xfId="9511"/>
    <cellStyle name="Currency 3 5 2 4" xfId="6701"/>
    <cellStyle name="Currency 3 5 3" xfId="1770"/>
    <cellStyle name="Currency 3 5 3 2" xfId="4580"/>
    <cellStyle name="Currency 3 5 3 2 2" xfId="10216"/>
    <cellStyle name="Currency 3 5 3 3" xfId="7406"/>
    <cellStyle name="Currency 3 5 4" xfId="3179"/>
    <cellStyle name="Currency 3 5 4 2" xfId="8815"/>
    <cellStyle name="Currency 3 5 5" xfId="6005"/>
    <cellStyle name="Currency 3 6" xfId="721"/>
    <cellStyle name="Currency 3 6 2" xfId="2122"/>
    <cellStyle name="Currency 3 6 2 2" xfId="4932"/>
    <cellStyle name="Currency 3 6 2 2 2" xfId="10568"/>
    <cellStyle name="Currency 3 6 2 3" xfId="7758"/>
    <cellStyle name="Currency 3 6 3" xfId="3531"/>
    <cellStyle name="Currency 3 6 3 2" xfId="9167"/>
    <cellStyle name="Currency 3 6 4" xfId="6357"/>
    <cellStyle name="Currency 3 7" xfId="1426"/>
    <cellStyle name="Currency 3 7 2" xfId="4236"/>
    <cellStyle name="Currency 3 7 2 2" xfId="9872"/>
    <cellStyle name="Currency 3 7 3" xfId="7062"/>
    <cellStyle name="Currency 3 8" xfId="2835"/>
    <cellStyle name="Currency 3 8 2" xfId="8471"/>
    <cellStyle name="Currency 3 9" xfId="5661"/>
    <cellStyle name="Currency 4" xfId="35"/>
    <cellStyle name="Currency 4 2" xfId="115"/>
    <cellStyle name="Currency 4 2 2" xfId="287"/>
    <cellStyle name="Currency 4 2 2 2" xfId="631"/>
    <cellStyle name="Currency 4 2 2 2 2" xfId="1327"/>
    <cellStyle name="Currency 4 2 2 2 2 2" xfId="2728"/>
    <cellStyle name="Currency 4 2 2 2 2 2 2" xfId="5538"/>
    <cellStyle name="Currency 4 2 2 2 2 2 2 2" xfId="11174"/>
    <cellStyle name="Currency 4 2 2 2 2 2 3" xfId="8364"/>
    <cellStyle name="Currency 4 2 2 2 2 3" xfId="4137"/>
    <cellStyle name="Currency 4 2 2 2 2 3 2" xfId="9773"/>
    <cellStyle name="Currency 4 2 2 2 2 4" xfId="6963"/>
    <cellStyle name="Currency 4 2 2 2 3" xfId="2032"/>
    <cellStyle name="Currency 4 2 2 2 3 2" xfId="4842"/>
    <cellStyle name="Currency 4 2 2 2 3 2 2" xfId="10478"/>
    <cellStyle name="Currency 4 2 2 2 3 3" xfId="7668"/>
    <cellStyle name="Currency 4 2 2 2 4" xfId="3441"/>
    <cellStyle name="Currency 4 2 2 2 4 2" xfId="9077"/>
    <cellStyle name="Currency 4 2 2 2 5" xfId="6267"/>
    <cellStyle name="Currency 4 2 2 3" xfId="983"/>
    <cellStyle name="Currency 4 2 2 3 2" xfId="2384"/>
    <cellStyle name="Currency 4 2 2 3 2 2" xfId="5194"/>
    <cellStyle name="Currency 4 2 2 3 2 2 2" xfId="10830"/>
    <cellStyle name="Currency 4 2 2 3 2 3" xfId="8020"/>
    <cellStyle name="Currency 4 2 2 3 3" xfId="3793"/>
    <cellStyle name="Currency 4 2 2 3 3 2" xfId="9429"/>
    <cellStyle name="Currency 4 2 2 3 4" xfId="6619"/>
    <cellStyle name="Currency 4 2 2 4" xfId="1688"/>
    <cellStyle name="Currency 4 2 2 4 2" xfId="4498"/>
    <cellStyle name="Currency 4 2 2 4 2 2" xfId="10134"/>
    <cellStyle name="Currency 4 2 2 4 3" xfId="7324"/>
    <cellStyle name="Currency 4 2 2 5" xfId="3097"/>
    <cellStyle name="Currency 4 2 2 5 2" xfId="8733"/>
    <cellStyle name="Currency 4 2 2 6" xfId="5923"/>
    <cellStyle name="Currency 4 2 3" xfId="459"/>
    <cellStyle name="Currency 4 2 3 2" xfId="1155"/>
    <cellStyle name="Currency 4 2 3 2 2" xfId="2556"/>
    <cellStyle name="Currency 4 2 3 2 2 2" xfId="5366"/>
    <cellStyle name="Currency 4 2 3 2 2 2 2" xfId="11002"/>
    <cellStyle name="Currency 4 2 3 2 2 3" xfId="8192"/>
    <cellStyle name="Currency 4 2 3 2 3" xfId="3965"/>
    <cellStyle name="Currency 4 2 3 2 3 2" xfId="9601"/>
    <cellStyle name="Currency 4 2 3 2 4" xfId="6791"/>
    <cellStyle name="Currency 4 2 3 3" xfId="1860"/>
    <cellStyle name="Currency 4 2 3 3 2" xfId="4670"/>
    <cellStyle name="Currency 4 2 3 3 2 2" xfId="10306"/>
    <cellStyle name="Currency 4 2 3 3 3" xfId="7496"/>
    <cellStyle name="Currency 4 2 3 4" xfId="3269"/>
    <cellStyle name="Currency 4 2 3 4 2" xfId="8905"/>
    <cellStyle name="Currency 4 2 3 5" xfId="6095"/>
    <cellStyle name="Currency 4 2 4" xfId="811"/>
    <cellStyle name="Currency 4 2 4 2" xfId="2212"/>
    <cellStyle name="Currency 4 2 4 2 2" xfId="5022"/>
    <cellStyle name="Currency 4 2 4 2 2 2" xfId="10658"/>
    <cellStyle name="Currency 4 2 4 2 3" xfId="7848"/>
    <cellStyle name="Currency 4 2 4 3" xfId="3621"/>
    <cellStyle name="Currency 4 2 4 3 2" xfId="9257"/>
    <cellStyle name="Currency 4 2 4 4" xfId="6447"/>
    <cellStyle name="Currency 4 2 5" xfId="1516"/>
    <cellStyle name="Currency 4 2 5 2" xfId="4326"/>
    <cellStyle name="Currency 4 2 5 2 2" xfId="9962"/>
    <cellStyle name="Currency 4 2 5 3" xfId="7152"/>
    <cellStyle name="Currency 4 2 6" xfId="2925"/>
    <cellStyle name="Currency 4 2 6 2" xfId="8561"/>
    <cellStyle name="Currency 4 2 7" xfId="5751"/>
    <cellStyle name="Currency 4 3" xfId="207"/>
    <cellStyle name="Currency 4 3 2" xfId="551"/>
    <cellStyle name="Currency 4 3 2 2" xfId="1247"/>
    <cellStyle name="Currency 4 3 2 2 2" xfId="2648"/>
    <cellStyle name="Currency 4 3 2 2 2 2" xfId="5458"/>
    <cellStyle name="Currency 4 3 2 2 2 2 2" xfId="11094"/>
    <cellStyle name="Currency 4 3 2 2 2 3" xfId="8284"/>
    <cellStyle name="Currency 4 3 2 2 3" xfId="4057"/>
    <cellStyle name="Currency 4 3 2 2 3 2" xfId="9693"/>
    <cellStyle name="Currency 4 3 2 2 4" xfId="6883"/>
    <cellStyle name="Currency 4 3 2 3" xfId="1952"/>
    <cellStyle name="Currency 4 3 2 3 2" xfId="4762"/>
    <cellStyle name="Currency 4 3 2 3 2 2" xfId="10398"/>
    <cellStyle name="Currency 4 3 2 3 3" xfId="7588"/>
    <cellStyle name="Currency 4 3 2 4" xfId="3361"/>
    <cellStyle name="Currency 4 3 2 4 2" xfId="8997"/>
    <cellStyle name="Currency 4 3 2 5" xfId="6187"/>
    <cellStyle name="Currency 4 3 3" xfId="903"/>
    <cellStyle name="Currency 4 3 3 2" xfId="2304"/>
    <cellStyle name="Currency 4 3 3 2 2" xfId="5114"/>
    <cellStyle name="Currency 4 3 3 2 2 2" xfId="10750"/>
    <cellStyle name="Currency 4 3 3 2 3" xfId="7940"/>
    <cellStyle name="Currency 4 3 3 3" xfId="3713"/>
    <cellStyle name="Currency 4 3 3 3 2" xfId="9349"/>
    <cellStyle name="Currency 4 3 3 4" xfId="6539"/>
    <cellStyle name="Currency 4 3 4" xfId="1608"/>
    <cellStyle name="Currency 4 3 4 2" xfId="4418"/>
    <cellStyle name="Currency 4 3 4 2 2" xfId="10054"/>
    <cellStyle name="Currency 4 3 4 3" xfId="7244"/>
    <cellStyle name="Currency 4 3 5" xfId="3017"/>
    <cellStyle name="Currency 4 3 5 2" xfId="8653"/>
    <cellStyle name="Currency 4 3 6" xfId="5843"/>
    <cellStyle name="Currency 4 4" xfId="379"/>
    <cellStyle name="Currency 4 4 2" xfId="1075"/>
    <cellStyle name="Currency 4 4 2 2" xfId="2476"/>
    <cellStyle name="Currency 4 4 2 2 2" xfId="5286"/>
    <cellStyle name="Currency 4 4 2 2 2 2" xfId="10922"/>
    <cellStyle name="Currency 4 4 2 2 3" xfId="8112"/>
    <cellStyle name="Currency 4 4 2 3" xfId="3885"/>
    <cellStyle name="Currency 4 4 2 3 2" xfId="9521"/>
    <cellStyle name="Currency 4 4 2 4" xfId="6711"/>
    <cellStyle name="Currency 4 4 3" xfId="1780"/>
    <cellStyle name="Currency 4 4 3 2" xfId="4590"/>
    <cellStyle name="Currency 4 4 3 2 2" xfId="10226"/>
    <cellStyle name="Currency 4 4 3 3" xfId="7416"/>
    <cellStyle name="Currency 4 4 4" xfId="3189"/>
    <cellStyle name="Currency 4 4 4 2" xfId="8825"/>
    <cellStyle name="Currency 4 4 5" xfId="6015"/>
    <cellStyle name="Currency 4 5" xfId="731"/>
    <cellStyle name="Currency 4 5 2" xfId="2132"/>
    <cellStyle name="Currency 4 5 2 2" xfId="4942"/>
    <cellStyle name="Currency 4 5 2 2 2" xfId="10578"/>
    <cellStyle name="Currency 4 5 2 3" xfId="7768"/>
    <cellStyle name="Currency 4 5 3" xfId="3541"/>
    <cellStyle name="Currency 4 5 3 2" xfId="9177"/>
    <cellStyle name="Currency 4 5 4" xfId="6367"/>
    <cellStyle name="Currency 4 6" xfId="1436"/>
    <cellStyle name="Currency 4 6 2" xfId="4246"/>
    <cellStyle name="Currency 4 6 2 2" xfId="9882"/>
    <cellStyle name="Currency 4 6 3" xfId="7072"/>
    <cellStyle name="Currency 4 7" xfId="2845"/>
    <cellStyle name="Currency 4 7 2" xfId="8481"/>
    <cellStyle name="Currency 4 8" xfId="5671"/>
    <cellStyle name="Currency 5" xfId="66"/>
    <cellStyle name="Currency 5 2" xfId="146"/>
    <cellStyle name="Currency 5 2 2" xfId="318"/>
    <cellStyle name="Currency 5 2 2 2" xfId="662"/>
    <cellStyle name="Currency 5 2 2 2 2" xfId="1358"/>
    <cellStyle name="Currency 5 2 2 2 2 2" xfId="2759"/>
    <cellStyle name="Currency 5 2 2 2 2 2 2" xfId="5569"/>
    <cellStyle name="Currency 5 2 2 2 2 2 2 2" xfId="11205"/>
    <cellStyle name="Currency 5 2 2 2 2 2 3" xfId="8395"/>
    <cellStyle name="Currency 5 2 2 2 2 3" xfId="4168"/>
    <cellStyle name="Currency 5 2 2 2 2 3 2" xfId="9804"/>
    <cellStyle name="Currency 5 2 2 2 2 4" xfId="6994"/>
    <cellStyle name="Currency 5 2 2 2 3" xfId="2063"/>
    <cellStyle name="Currency 5 2 2 2 3 2" xfId="4873"/>
    <cellStyle name="Currency 5 2 2 2 3 2 2" xfId="10509"/>
    <cellStyle name="Currency 5 2 2 2 3 3" xfId="7699"/>
    <cellStyle name="Currency 5 2 2 2 4" xfId="3472"/>
    <cellStyle name="Currency 5 2 2 2 4 2" xfId="9108"/>
    <cellStyle name="Currency 5 2 2 2 5" xfId="6298"/>
    <cellStyle name="Currency 5 2 2 3" xfId="1014"/>
    <cellStyle name="Currency 5 2 2 3 2" xfId="2415"/>
    <cellStyle name="Currency 5 2 2 3 2 2" xfId="5225"/>
    <cellStyle name="Currency 5 2 2 3 2 2 2" xfId="10861"/>
    <cellStyle name="Currency 5 2 2 3 2 3" xfId="8051"/>
    <cellStyle name="Currency 5 2 2 3 3" xfId="3824"/>
    <cellStyle name="Currency 5 2 2 3 3 2" xfId="9460"/>
    <cellStyle name="Currency 5 2 2 3 4" xfId="6650"/>
    <cellStyle name="Currency 5 2 2 4" xfId="1719"/>
    <cellStyle name="Currency 5 2 2 4 2" xfId="4529"/>
    <cellStyle name="Currency 5 2 2 4 2 2" xfId="10165"/>
    <cellStyle name="Currency 5 2 2 4 3" xfId="7355"/>
    <cellStyle name="Currency 5 2 2 5" xfId="3128"/>
    <cellStyle name="Currency 5 2 2 5 2" xfId="8764"/>
    <cellStyle name="Currency 5 2 2 6" xfId="5954"/>
    <cellStyle name="Currency 5 2 3" xfId="490"/>
    <cellStyle name="Currency 5 2 3 2" xfId="1186"/>
    <cellStyle name="Currency 5 2 3 2 2" xfId="2587"/>
    <cellStyle name="Currency 5 2 3 2 2 2" xfId="5397"/>
    <cellStyle name="Currency 5 2 3 2 2 2 2" xfId="11033"/>
    <cellStyle name="Currency 5 2 3 2 2 3" xfId="8223"/>
    <cellStyle name="Currency 5 2 3 2 3" xfId="3996"/>
    <cellStyle name="Currency 5 2 3 2 3 2" xfId="9632"/>
    <cellStyle name="Currency 5 2 3 2 4" xfId="6822"/>
    <cellStyle name="Currency 5 2 3 3" xfId="1891"/>
    <cellStyle name="Currency 5 2 3 3 2" xfId="4701"/>
    <cellStyle name="Currency 5 2 3 3 2 2" xfId="10337"/>
    <cellStyle name="Currency 5 2 3 3 3" xfId="7527"/>
    <cellStyle name="Currency 5 2 3 4" xfId="3300"/>
    <cellStyle name="Currency 5 2 3 4 2" xfId="8936"/>
    <cellStyle name="Currency 5 2 3 5" xfId="6126"/>
    <cellStyle name="Currency 5 2 4" xfId="842"/>
    <cellStyle name="Currency 5 2 4 2" xfId="2243"/>
    <cellStyle name="Currency 5 2 4 2 2" xfId="5053"/>
    <cellStyle name="Currency 5 2 4 2 2 2" xfId="10689"/>
    <cellStyle name="Currency 5 2 4 2 3" xfId="7879"/>
    <cellStyle name="Currency 5 2 4 3" xfId="3652"/>
    <cellStyle name="Currency 5 2 4 3 2" xfId="9288"/>
    <cellStyle name="Currency 5 2 4 4" xfId="6478"/>
    <cellStyle name="Currency 5 2 5" xfId="1547"/>
    <cellStyle name="Currency 5 2 5 2" xfId="4357"/>
    <cellStyle name="Currency 5 2 5 2 2" xfId="9993"/>
    <cellStyle name="Currency 5 2 5 3" xfId="7183"/>
    <cellStyle name="Currency 5 2 6" xfId="2956"/>
    <cellStyle name="Currency 5 2 6 2" xfId="8592"/>
    <cellStyle name="Currency 5 2 7" xfId="5782"/>
    <cellStyle name="Currency 5 3" xfId="238"/>
    <cellStyle name="Currency 5 3 2" xfId="582"/>
    <cellStyle name="Currency 5 3 2 2" xfId="1278"/>
    <cellStyle name="Currency 5 3 2 2 2" xfId="2679"/>
    <cellStyle name="Currency 5 3 2 2 2 2" xfId="5489"/>
    <cellStyle name="Currency 5 3 2 2 2 2 2" xfId="11125"/>
    <cellStyle name="Currency 5 3 2 2 2 3" xfId="8315"/>
    <cellStyle name="Currency 5 3 2 2 3" xfId="4088"/>
    <cellStyle name="Currency 5 3 2 2 3 2" xfId="9724"/>
    <cellStyle name="Currency 5 3 2 2 4" xfId="6914"/>
    <cellStyle name="Currency 5 3 2 3" xfId="1983"/>
    <cellStyle name="Currency 5 3 2 3 2" xfId="4793"/>
    <cellStyle name="Currency 5 3 2 3 2 2" xfId="10429"/>
    <cellStyle name="Currency 5 3 2 3 3" xfId="7619"/>
    <cellStyle name="Currency 5 3 2 4" xfId="3392"/>
    <cellStyle name="Currency 5 3 2 4 2" xfId="9028"/>
    <cellStyle name="Currency 5 3 2 5" xfId="6218"/>
    <cellStyle name="Currency 5 3 3" xfId="934"/>
    <cellStyle name="Currency 5 3 3 2" xfId="2335"/>
    <cellStyle name="Currency 5 3 3 2 2" xfId="5145"/>
    <cellStyle name="Currency 5 3 3 2 2 2" xfId="10781"/>
    <cellStyle name="Currency 5 3 3 2 3" xfId="7971"/>
    <cellStyle name="Currency 5 3 3 3" xfId="3744"/>
    <cellStyle name="Currency 5 3 3 3 2" xfId="9380"/>
    <cellStyle name="Currency 5 3 3 4" xfId="6570"/>
    <cellStyle name="Currency 5 3 4" xfId="1639"/>
    <cellStyle name="Currency 5 3 4 2" xfId="4449"/>
    <cellStyle name="Currency 5 3 4 2 2" xfId="10085"/>
    <cellStyle name="Currency 5 3 4 3" xfId="7275"/>
    <cellStyle name="Currency 5 3 5" xfId="3048"/>
    <cellStyle name="Currency 5 3 5 2" xfId="8684"/>
    <cellStyle name="Currency 5 3 6" xfId="5874"/>
    <cellStyle name="Currency 5 4" xfId="410"/>
    <cellStyle name="Currency 5 4 2" xfId="1106"/>
    <cellStyle name="Currency 5 4 2 2" xfId="2507"/>
    <cellStyle name="Currency 5 4 2 2 2" xfId="5317"/>
    <cellStyle name="Currency 5 4 2 2 2 2" xfId="10953"/>
    <cellStyle name="Currency 5 4 2 2 3" xfId="8143"/>
    <cellStyle name="Currency 5 4 2 3" xfId="3916"/>
    <cellStyle name="Currency 5 4 2 3 2" xfId="9552"/>
    <cellStyle name="Currency 5 4 2 4" xfId="6742"/>
    <cellStyle name="Currency 5 4 3" xfId="1811"/>
    <cellStyle name="Currency 5 4 3 2" xfId="4621"/>
    <cellStyle name="Currency 5 4 3 2 2" xfId="10257"/>
    <cellStyle name="Currency 5 4 3 3" xfId="7447"/>
    <cellStyle name="Currency 5 4 4" xfId="3220"/>
    <cellStyle name="Currency 5 4 4 2" xfId="8856"/>
    <cellStyle name="Currency 5 4 5" xfId="6046"/>
    <cellStyle name="Currency 5 5" xfId="762"/>
    <cellStyle name="Currency 5 5 2" xfId="2163"/>
    <cellStyle name="Currency 5 5 2 2" xfId="4973"/>
    <cellStyle name="Currency 5 5 2 2 2" xfId="10609"/>
    <cellStyle name="Currency 5 5 2 3" xfId="7799"/>
    <cellStyle name="Currency 5 5 3" xfId="3572"/>
    <cellStyle name="Currency 5 5 3 2" xfId="9208"/>
    <cellStyle name="Currency 5 5 4" xfId="6398"/>
    <cellStyle name="Currency 5 6" xfId="1467"/>
    <cellStyle name="Currency 5 6 2" xfId="4277"/>
    <cellStyle name="Currency 5 6 2 2" xfId="9913"/>
    <cellStyle name="Currency 5 6 3" xfId="7103"/>
    <cellStyle name="Currency 5 7" xfId="2876"/>
    <cellStyle name="Currency 5 7 2" xfId="8512"/>
    <cellStyle name="Currency 5 8" xfId="5702"/>
    <cellStyle name="Currency 6" xfId="83"/>
    <cellStyle name="Currency 6 2" xfId="255"/>
    <cellStyle name="Currency 6 2 2" xfId="599"/>
    <cellStyle name="Currency 6 2 2 2" xfId="1295"/>
    <cellStyle name="Currency 6 2 2 2 2" xfId="2696"/>
    <cellStyle name="Currency 6 2 2 2 2 2" xfId="5506"/>
    <cellStyle name="Currency 6 2 2 2 2 2 2" xfId="11142"/>
    <cellStyle name="Currency 6 2 2 2 2 3" xfId="8332"/>
    <cellStyle name="Currency 6 2 2 2 3" xfId="4105"/>
    <cellStyle name="Currency 6 2 2 2 3 2" xfId="9741"/>
    <cellStyle name="Currency 6 2 2 2 4" xfId="6931"/>
    <cellStyle name="Currency 6 2 2 3" xfId="2000"/>
    <cellStyle name="Currency 6 2 2 3 2" xfId="4810"/>
    <cellStyle name="Currency 6 2 2 3 2 2" xfId="10446"/>
    <cellStyle name="Currency 6 2 2 3 3" xfId="7636"/>
    <cellStyle name="Currency 6 2 2 4" xfId="3409"/>
    <cellStyle name="Currency 6 2 2 4 2" xfId="9045"/>
    <cellStyle name="Currency 6 2 2 5" xfId="6235"/>
    <cellStyle name="Currency 6 2 3" xfId="951"/>
    <cellStyle name="Currency 6 2 3 2" xfId="2352"/>
    <cellStyle name="Currency 6 2 3 2 2" xfId="5162"/>
    <cellStyle name="Currency 6 2 3 2 2 2" xfId="10798"/>
    <cellStyle name="Currency 6 2 3 2 3" xfId="7988"/>
    <cellStyle name="Currency 6 2 3 3" xfId="3761"/>
    <cellStyle name="Currency 6 2 3 3 2" xfId="9397"/>
    <cellStyle name="Currency 6 2 3 4" xfId="6587"/>
    <cellStyle name="Currency 6 2 4" xfId="1656"/>
    <cellStyle name="Currency 6 2 4 2" xfId="4466"/>
    <cellStyle name="Currency 6 2 4 2 2" xfId="10102"/>
    <cellStyle name="Currency 6 2 4 3" xfId="7292"/>
    <cellStyle name="Currency 6 2 5" xfId="3065"/>
    <cellStyle name="Currency 6 2 5 2" xfId="8701"/>
    <cellStyle name="Currency 6 2 6" xfId="5891"/>
    <cellStyle name="Currency 6 3" xfId="427"/>
    <cellStyle name="Currency 6 3 2" xfId="1123"/>
    <cellStyle name="Currency 6 3 2 2" xfId="2524"/>
    <cellStyle name="Currency 6 3 2 2 2" xfId="5334"/>
    <cellStyle name="Currency 6 3 2 2 2 2" xfId="10970"/>
    <cellStyle name="Currency 6 3 2 2 3" xfId="8160"/>
    <cellStyle name="Currency 6 3 2 3" xfId="3933"/>
    <cellStyle name="Currency 6 3 2 3 2" xfId="9569"/>
    <cellStyle name="Currency 6 3 2 4" xfId="6759"/>
    <cellStyle name="Currency 6 3 3" xfId="1828"/>
    <cellStyle name="Currency 6 3 3 2" xfId="4638"/>
    <cellStyle name="Currency 6 3 3 2 2" xfId="10274"/>
    <cellStyle name="Currency 6 3 3 3" xfId="7464"/>
    <cellStyle name="Currency 6 3 4" xfId="3237"/>
    <cellStyle name="Currency 6 3 4 2" xfId="8873"/>
    <cellStyle name="Currency 6 3 5" xfId="6063"/>
    <cellStyle name="Currency 6 4" xfId="779"/>
    <cellStyle name="Currency 6 4 2" xfId="2180"/>
    <cellStyle name="Currency 6 4 2 2" xfId="4990"/>
    <cellStyle name="Currency 6 4 2 2 2" xfId="10626"/>
    <cellStyle name="Currency 6 4 2 3" xfId="7816"/>
    <cellStyle name="Currency 6 4 3" xfId="3589"/>
    <cellStyle name="Currency 6 4 3 2" xfId="9225"/>
    <cellStyle name="Currency 6 4 4" xfId="6415"/>
    <cellStyle name="Currency 6 5" xfId="1484"/>
    <cellStyle name="Currency 6 5 2" xfId="4294"/>
    <cellStyle name="Currency 6 5 2 2" xfId="9930"/>
    <cellStyle name="Currency 6 5 3" xfId="7120"/>
    <cellStyle name="Currency 6 6" xfId="2893"/>
    <cellStyle name="Currency 6 6 2" xfId="8529"/>
    <cellStyle name="Currency 6 7" xfId="5719"/>
    <cellStyle name="Currency 7" xfId="161"/>
    <cellStyle name="Currency 7 2" xfId="333"/>
    <cellStyle name="Currency 7 2 2" xfId="677"/>
    <cellStyle name="Currency 7 2 2 2" xfId="1373"/>
    <cellStyle name="Currency 7 2 2 2 2" xfId="2774"/>
    <cellStyle name="Currency 7 2 2 2 2 2" xfId="5584"/>
    <cellStyle name="Currency 7 2 2 2 2 2 2" xfId="11220"/>
    <cellStyle name="Currency 7 2 2 2 2 3" xfId="8410"/>
    <cellStyle name="Currency 7 2 2 2 3" xfId="4183"/>
    <cellStyle name="Currency 7 2 2 2 3 2" xfId="9819"/>
    <cellStyle name="Currency 7 2 2 2 4" xfId="7009"/>
    <cellStyle name="Currency 7 2 2 3" xfId="2078"/>
    <cellStyle name="Currency 7 2 2 3 2" xfId="4888"/>
    <cellStyle name="Currency 7 2 2 3 2 2" xfId="10524"/>
    <cellStyle name="Currency 7 2 2 3 3" xfId="7714"/>
    <cellStyle name="Currency 7 2 2 4" xfId="3487"/>
    <cellStyle name="Currency 7 2 2 4 2" xfId="9123"/>
    <cellStyle name="Currency 7 2 2 5" xfId="6313"/>
    <cellStyle name="Currency 7 2 3" xfId="1029"/>
    <cellStyle name="Currency 7 2 3 2" xfId="2430"/>
    <cellStyle name="Currency 7 2 3 2 2" xfId="5240"/>
    <cellStyle name="Currency 7 2 3 2 2 2" xfId="10876"/>
    <cellStyle name="Currency 7 2 3 2 3" xfId="8066"/>
    <cellStyle name="Currency 7 2 3 3" xfId="3839"/>
    <cellStyle name="Currency 7 2 3 3 2" xfId="9475"/>
    <cellStyle name="Currency 7 2 3 4" xfId="6665"/>
    <cellStyle name="Currency 7 2 4" xfId="1734"/>
    <cellStyle name="Currency 7 2 4 2" xfId="4544"/>
    <cellStyle name="Currency 7 2 4 2 2" xfId="10180"/>
    <cellStyle name="Currency 7 2 4 3" xfId="7370"/>
    <cellStyle name="Currency 7 2 5" xfId="3143"/>
    <cellStyle name="Currency 7 2 5 2" xfId="8779"/>
    <cellStyle name="Currency 7 2 6" xfId="5969"/>
    <cellStyle name="Currency 7 3" xfId="505"/>
    <cellStyle name="Currency 7 3 2" xfId="1201"/>
    <cellStyle name="Currency 7 3 2 2" xfId="2602"/>
    <cellStyle name="Currency 7 3 2 2 2" xfId="5412"/>
    <cellStyle name="Currency 7 3 2 2 2 2" xfId="11048"/>
    <cellStyle name="Currency 7 3 2 2 3" xfId="8238"/>
    <cellStyle name="Currency 7 3 2 3" xfId="4011"/>
    <cellStyle name="Currency 7 3 2 3 2" xfId="9647"/>
    <cellStyle name="Currency 7 3 2 4" xfId="6837"/>
    <cellStyle name="Currency 7 3 3" xfId="1906"/>
    <cellStyle name="Currency 7 3 3 2" xfId="4716"/>
    <cellStyle name="Currency 7 3 3 2 2" xfId="10352"/>
    <cellStyle name="Currency 7 3 3 3" xfId="7542"/>
    <cellStyle name="Currency 7 3 4" xfId="3315"/>
    <cellStyle name="Currency 7 3 4 2" xfId="8951"/>
    <cellStyle name="Currency 7 3 5" xfId="6141"/>
    <cellStyle name="Currency 7 4" xfId="857"/>
    <cellStyle name="Currency 7 4 2" xfId="2258"/>
    <cellStyle name="Currency 7 4 2 2" xfId="5068"/>
    <cellStyle name="Currency 7 4 2 2 2" xfId="10704"/>
    <cellStyle name="Currency 7 4 2 3" xfId="7894"/>
    <cellStyle name="Currency 7 4 3" xfId="3667"/>
    <cellStyle name="Currency 7 4 3 2" xfId="9303"/>
    <cellStyle name="Currency 7 4 4" xfId="6493"/>
    <cellStyle name="Currency 7 5" xfId="1562"/>
    <cellStyle name="Currency 7 5 2" xfId="4372"/>
    <cellStyle name="Currency 7 5 2 2" xfId="10008"/>
    <cellStyle name="Currency 7 5 3" xfId="7198"/>
    <cellStyle name="Currency 7 6" xfId="2971"/>
    <cellStyle name="Currency 7 6 2" xfId="8607"/>
    <cellStyle name="Currency 7 7" xfId="5797"/>
    <cellStyle name="Currency 8" xfId="175"/>
    <cellStyle name="Currency 8 2" xfId="519"/>
    <cellStyle name="Currency 8 2 2" xfId="1215"/>
    <cellStyle name="Currency 8 2 2 2" xfId="2616"/>
    <cellStyle name="Currency 8 2 2 2 2" xfId="5426"/>
    <cellStyle name="Currency 8 2 2 2 2 2" xfId="11062"/>
    <cellStyle name="Currency 8 2 2 2 3" xfId="8252"/>
    <cellStyle name="Currency 8 2 2 3" xfId="4025"/>
    <cellStyle name="Currency 8 2 2 3 2" xfId="9661"/>
    <cellStyle name="Currency 8 2 2 4" xfId="6851"/>
    <cellStyle name="Currency 8 2 3" xfId="1920"/>
    <cellStyle name="Currency 8 2 3 2" xfId="4730"/>
    <cellStyle name="Currency 8 2 3 2 2" xfId="10366"/>
    <cellStyle name="Currency 8 2 3 3" xfId="7556"/>
    <cellStyle name="Currency 8 2 4" xfId="3329"/>
    <cellStyle name="Currency 8 2 4 2" xfId="8965"/>
    <cellStyle name="Currency 8 2 5" xfId="6155"/>
    <cellStyle name="Currency 8 3" xfId="871"/>
    <cellStyle name="Currency 8 3 2" xfId="2272"/>
    <cellStyle name="Currency 8 3 2 2" xfId="5082"/>
    <cellStyle name="Currency 8 3 2 2 2" xfId="10718"/>
    <cellStyle name="Currency 8 3 2 3" xfId="7908"/>
    <cellStyle name="Currency 8 3 3" xfId="3681"/>
    <cellStyle name="Currency 8 3 3 2" xfId="9317"/>
    <cellStyle name="Currency 8 3 4" xfId="6507"/>
    <cellStyle name="Currency 8 4" xfId="1576"/>
    <cellStyle name="Currency 8 4 2" xfId="4386"/>
    <cellStyle name="Currency 8 4 2 2" xfId="10022"/>
    <cellStyle name="Currency 8 4 3" xfId="7212"/>
    <cellStyle name="Currency 8 5" xfId="2985"/>
    <cellStyle name="Currency 8 5 2" xfId="8621"/>
    <cellStyle name="Currency 8 6" xfId="5811"/>
    <cellStyle name="Currency 9" xfId="347"/>
    <cellStyle name="Currency 9 2" xfId="1043"/>
    <cellStyle name="Currency 9 2 2" xfId="2444"/>
    <cellStyle name="Currency 9 2 2 2" xfId="5254"/>
    <cellStyle name="Currency 9 2 2 2 2" xfId="10890"/>
    <cellStyle name="Currency 9 2 2 3" xfId="8080"/>
    <cellStyle name="Currency 9 2 3" xfId="3853"/>
    <cellStyle name="Currency 9 2 3 2" xfId="9489"/>
    <cellStyle name="Currency 9 2 4" xfId="6679"/>
    <cellStyle name="Currency 9 3" xfId="1748"/>
    <cellStyle name="Currency 9 3 2" xfId="4558"/>
    <cellStyle name="Currency 9 3 2 2" xfId="10194"/>
    <cellStyle name="Currency 9 3 3" xfId="7384"/>
    <cellStyle name="Currency 9 4" xfId="3157"/>
    <cellStyle name="Currency 9 4 2" xfId="8793"/>
    <cellStyle name="Currency 9 5" xfId="5983"/>
    <cellStyle name="Lien hypertexte" xfId="11272" builtinId="8"/>
    <cellStyle name="Milliers" xfId="1" builtinId="3"/>
    <cellStyle name="Monétaire" xfId="3" builtinId="4"/>
    <cellStyle name="Monétaire 2" xfId="5629"/>
    <cellStyle name="Monétaire 2 2" xfId="11265"/>
    <cellStyle name="Normal" xfId="0" builtinId="0"/>
    <cellStyle name="Normal 10" xfId="30"/>
    <cellStyle name="Normal 10 2" xfId="62"/>
    <cellStyle name="Normal 10 2 2" xfId="142"/>
    <cellStyle name="Normal 10 2 2 2" xfId="314"/>
    <cellStyle name="Normal 10 2 2 2 2" xfId="658"/>
    <cellStyle name="Normal 10 2 2 2 2 2" xfId="1354"/>
    <cellStyle name="Normal 10 2 2 2 2 2 2" xfId="2755"/>
    <cellStyle name="Normal 10 2 2 2 2 2 2 2" xfId="5565"/>
    <cellStyle name="Normal 10 2 2 2 2 2 2 2 2" xfId="11201"/>
    <cellStyle name="Normal 10 2 2 2 2 2 2 3" xfId="8391"/>
    <cellStyle name="Normal 10 2 2 2 2 2 3" xfId="4164"/>
    <cellStyle name="Normal 10 2 2 2 2 2 3 2" xfId="9800"/>
    <cellStyle name="Normal 10 2 2 2 2 2 4" xfId="6990"/>
    <cellStyle name="Normal 10 2 2 2 2 3" xfId="2059"/>
    <cellStyle name="Normal 10 2 2 2 2 3 2" xfId="4869"/>
    <cellStyle name="Normal 10 2 2 2 2 3 2 2" xfId="10505"/>
    <cellStyle name="Normal 10 2 2 2 2 3 3" xfId="7695"/>
    <cellStyle name="Normal 10 2 2 2 2 4" xfId="3468"/>
    <cellStyle name="Normal 10 2 2 2 2 4 2" xfId="9104"/>
    <cellStyle name="Normal 10 2 2 2 2 5" xfId="6294"/>
    <cellStyle name="Normal 10 2 2 2 3" xfId="1010"/>
    <cellStyle name="Normal 10 2 2 2 3 2" xfId="2411"/>
    <cellStyle name="Normal 10 2 2 2 3 2 2" xfId="5221"/>
    <cellStyle name="Normal 10 2 2 2 3 2 2 2" xfId="10857"/>
    <cellStyle name="Normal 10 2 2 2 3 2 3" xfId="8047"/>
    <cellStyle name="Normal 10 2 2 2 3 3" xfId="3820"/>
    <cellStyle name="Normal 10 2 2 2 3 3 2" xfId="9456"/>
    <cellStyle name="Normal 10 2 2 2 3 4" xfId="6646"/>
    <cellStyle name="Normal 10 2 2 2 4" xfId="1715"/>
    <cellStyle name="Normal 10 2 2 2 4 2" xfId="4525"/>
    <cellStyle name="Normal 10 2 2 2 4 2 2" xfId="10161"/>
    <cellStyle name="Normal 10 2 2 2 4 3" xfId="7351"/>
    <cellStyle name="Normal 10 2 2 2 5" xfId="3124"/>
    <cellStyle name="Normal 10 2 2 2 5 2" xfId="8760"/>
    <cellStyle name="Normal 10 2 2 2 6" xfId="5950"/>
    <cellStyle name="Normal 10 2 2 3" xfId="486"/>
    <cellStyle name="Normal 10 2 2 3 2" xfId="1182"/>
    <cellStyle name="Normal 10 2 2 3 2 2" xfId="2583"/>
    <cellStyle name="Normal 10 2 2 3 2 2 2" xfId="5393"/>
    <cellStyle name="Normal 10 2 2 3 2 2 2 2" xfId="11029"/>
    <cellStyle name="Normal 10 2 2 3 2 2 3" xfId="8219"/>
    <cellStyle name="Normal 10 2 2 3 2 3" xfId="3992"/>
    <cellStyle name="Normal 10 2 2 3 2 3 2" xfId="9628"/>
    <cellStyle name="Normal 10 2 2 3 2 4" xfId="6818"/>
    <cellStyle name="Normal 10 2 2 3 3" xfId="1887"/>
    <cellStyle name="Normal 10 2 2 3 3 2" xfId="4697"/>
    <cellStyle name="Normal 10 2 2 3 3 2 2" xfId="10333"/>
    <cellStyle name="Normal 10 2 2 3 3 3" xfId="7523"/>
    <cellStyle name="Normal 10 2 2 3 4" xfId="3296"/>
    <cellStyle name="Normal 10 2 2 3 4 2" xfId="8932"/>
    <cellStyle name="Normal 10 2 2 3 5" xfId="6122"/>
    <cellStyle name="Normal 10 2 2 4" xfId="838"/>
    <cellStyle name="Normal 10 2 2 4 2" xfId="2239"/>
    <cellStyle name="Normal 10 2 2 4 2 2" xfId="5049"/>
    <cellStyle name="Normal 10 2 2 4 2 2 2" xfId="10685"/>
    <cellStyle name="Normal 10 2 2 4 2 3" xfId="7875"/>
    <cellStyle name="Normal 10 2 2 4 3" xfId="3648"/>
    <cellStyle name="Normal 10 2 2 4 3 2" xfId="9284"/>
    <cellStyle name="Normal 10 2 2 4 4" xfId="6474"/>
    <cellStyle name="Normal 10 2 2 5" xfId="1543"/>
    <cellStyle name="Normal 10 2 2 5 2" xfId="4353"/>
    <cellStyle name="Normal 10 2 2 5 2 2" xfId="9989"/>
    <cellStyle name="Normal 10 2 2 5 3" xfId="7179"/>
    <cellStyle name="Normal 10 2 2 6" xfId="2952"/>
    <cellStyle name="Normal 10 2 2 6 2" xfId="8588"/>
    <cellStyle name="Normal 10 2 2 7" xfId="5778"/>
    <cellStyle name="Normal 10 2 3" xfId="234"/>
    <cellStyle name="Normal 10 2 3 2" xfId="578"/>
    <cellStyle name="Normal 10 2 3 2 2" xfId="1274"/>
    <cellStyle name="Normal 10 2 3 2 2 2" xfId="2675"/>
    <cellStyle name="Normal 10 2 3 2 2 2 2" xfId="5485"/>
    <cellStyle name="Normal 10 2 3 2 2 2 2 2" xfId="11121"/>
    <cellStyle name="Normal 10 2 3 2 2 2 3" xfId="8311"/>
    <cellStyle name="Normal 10 2 3 2 2 3" xfId="4084"/>
    <cellStyle name="Normal 10 2 3 2 2 3 2" xfId="9720"/>
    <cellStyle name="Normal 10 2 3 2 2 4" xfId="6910"/>
    <cellStyle name="Normal 10 2 3 2 3" xfId="1979"/>
    <cellStyle name="Normal 10 2 3 2 3 2" xfId="4789"/>
    <cellStyle name="Normal 10 2 3 2 3 2 2" xfId="10425"/>
    <cellStyle name="Normal 10 2 3 2 3 3" xfId="7615"/>
    <cellStyle name="Normal 10 2 3 2 4" xfId="3388"/>
    <cellStyle name="Normal 10 2 3 2 4 2" xfId="9024"/>
    <cellStyle name="Normal 10 2 3 2 5" xfId="6214"/>
    <cellStyle name="Normal 10 2 3 3" xfId="930"/>
    <cellStyle name="Normal 10 2 3 3 2" xfId="2331"/>
    <cellStyle name="Normal 10 2 3 3 2 2" xfId="5141"/>
    <cellStyle name="Normal 10 2 3 3 2 2 2" xfId="10777"/>
    <cellStyle name="Normal 10 2 3 3 2 3" xfId="7967"/>
    <cellStyle name="Normal 10 2 3 3 3" xfId="3740"/>
    <cellStyle name="Normal 10 2 3 3 3 2" xfId="9376"/>
    <cellStyle name="Normal 10 2 3 3 4" xfId="6566"/>
    <cellStyle name="Normal 10 2 3 4" xfId="1635"/>
    <cellStyle name="Normal 10 2 3 4 2" xfId="4445"/>
    <cellStyle name="Normal 10 2 3 4 2 2" xfId="10081"/>
    <cellStyle name="Normal 10 2 3 4 3" xfId="7271"/>
    <cellStyle name="Normal 10 2 3 5" xfId="3044"/>
    <cellStyle name="Normal 10 2 3 5 2" xfId="8680"/>
    <cellStyle name="Normal 10 2 3 6" xfId="5870"/>
    <cellStyle name="Normal 10 2 4" xfId="406"/>
    <cellStyle name="Normal 10 2 4 2" xfId="1102"/>
    <cellStyle name="Normal 10 2 4 2 2" xfId="2503"/>
    <cellStyle name="Normal 10 2 4 2 2 2" xfId="5313"/>
    <cellStyle name="Normal 10 2 4 2 2 2 2" xfId="10949"/>
    <cellStyle name="Normal 10 2 4 2 2 3" xfId="8139"/>
    <cellStyle name="Normal 10 2 4 2 3" xfId="3912"/>
    <cellStyle name="Normal 10 2 4 2 3 2" xfId="9548"/>
    <cellStyle name="Normal 10 2 4 2 4" xfId="6738"/>
    <cellStyle name="Normal 10 2 4 3" xfId="1807"/>
    <cellStyle name="Normal 10 2 4 3 2" xfId="4617"/>
    <cellStyle name="Normal 10 2 4 3 2 2" xfId="10253"/>
    <cellStyle name="Normal 10 2 4 3 3" xfId="7443"/>
    <cellStyle name="Normal 10 2 4 4" xfId="3216"/>
    <cellStyle name="Normal 10 2 4 4 2" xfId="8852"/>
    <cellStyle name="Normal 10 2 4 5" xfId="6042"/>
    <cellStyle name="Normal 10 2 5" xfId="758"/>
    <cellStyle name="Normal 10 2 5 2" xfId="2159"/>
    <cellStyle name="Normal 10 2 5 2 2" xfId="4969"/>
    <cellStyle name="Normal 10 2 5 2 2 2" xfId="10605"/>
    <cellStyle name="Normal 10 2 5 2 3" xfId="7795"/>
    <cellStyle name="Normal 10 2 5 3" xfId="3568"/>
    <cellStyle name="Normal 10 2 5 3 2" xfId="9204"/>
    <cellStyle name="Normal 10 2 5 4" xfId="6394"/>
    <cellStyle name="Normal 10 2 6" xfId="1463"/>
    <cellStyle name="Normal 10 2 6 2" xfId="4273"/>
    <cellStyle name="Normal 10 2 6 2 2" xfId="9909"/>
    <cellStyle name="Normal 10 2 6 3" xfId="7099"/>
    <cellStyle name="Normal 10 2 7" xfId="2872"/>
    <cellStyle name="Normal 10 2 7 2" xfId="8508"/>
    <cellStyle name="Normal 10 2 8" xfId="5698"/>
    <cellStyle name="Normal 10 3" xfId="110"/>
    <cellStyle name="Normal 10 3 2" xfId="282"/>
    <cellStyle name="Normal 10 3 2 2" xfId="626"/>
    <cellStyle name="Normal 10 3 2 2 2" xfId="1322"/>
    <cellStyle name="Normal 10 3 2 2 2 2" xfId="2723"/>
    <cellStyle name="Normal 10 3 2 2 2 2 2" xfId="5533"/>
    <cellStyle name="Normal 10 3 2 2 2 2 2 2" xfId="11169"/>
    <cellStyle name="Normal 10 3 2 2 2 2 3" xfId="8359"/>
    <cellStyle name="Normal 10 3 2 2 2 3" xfId="4132"/>
    <cellStyle name="Normal 10 3 2 2 2 3 2" xfId="9768"/>
    <cellStyle name="Normal 10 3 2 2 2 4" xfId="6958"/>
    <cellStyle name="Normal 10 3 2 2 3" xfId="2027"/>
    <cellStyle name="Normal 10 3 2 2 3 2" xfId="4837"/>
    <cellStyle name="Normal 10 3 2 2 3 2 2" xfId="10473"/>
    <cellStyle name="Normal 10 3 2 2 3 3" xfId="7663"/>
    <cellStyle name="Normal 10 3 2 2 4" xfId="3436"/>
    <cellStyle name="Normal 10 3 2 2 4 2" xfId="9072"/>
    <cellStyle name="Normal 10 3 2 2 5" xfId="6262"/>
    <cellStyle name="Normal 10 3 2 3" xfId="978"/>
    <cellStyle name="Normal 10 3 2 3 2" xfId="2379"/>
    <cellStyle name="Normal 10 3 2 3 2 2" xfId="5189"/>
    <cellStyle name="Normal 10 3 2 3 2 2 2" xfId="10825"/>
    <cellStyle name="Normal 10 3 2 3 2 3" xfId="8015"/>
    <cellStyle name="Normal 10 3 2 3 3" xfId="3788"/>
    <cellStyle name="Normal 10 3 2 3 3 2" xfId="9424"/>
    <cellStyle name="Normal 10 3 2 3 4" xfId="6614"/>
    <cellStyle name="Normal 10 3 2 4" xfId="1683"/>
    <cellStyle name="Normal 10 3 2 4 2" xfId="4493"/>
    <cellStyle name="Normal 10 3 2 4 2 2" xfId="10129"/>
    <cellStyle name="Normal 10 3 2 4 3" xfId="7319"/>
    <cellStyle name="Normal 10 3 2 5" xfId="3092"/>
    <cellStyle name="Normal 10 3 2 5 2" xfId="8728"/>
    <cellStyle name="Normal 10 3 2 6" xfId="5918"/>
    <cellStyle name="Normal 10 3 3" xfId="454"/>
    <cellStyle name="Normal 10 3 3 2" xfId="1150"/>
    <cellStyle name="Normal 10 3 3 2 2" xfId="2551"/>
    <cellStyle name="Normal 10 3 3 2 2 2" xfId="5361"/>
    <cellStyle name="Normal 10 3 3 2 2 2 2" xfId="10997"/>
    <cellStyle name="Normal 10 3 3 2 2 3" xfId="8187"/>
    <cellStyle name="Normal 10 3 3 2 3" xfId="3960"/>
    <cellStyle name="Normal 10 3 3 2 3 2" xfId="9596"/>
    <cellStyle name="Normal 10 3 3 2 4" xfId="6786"/>
    <cellStyle name="Normal 10 3 3 3" xfId="1855"/>
    <cellStyle name="Normal 10 3 3 3 2" xfId="4665"/>
    <cellStyle name="Normal 10 3 3 3 2 2" xfId="10301"/>
    <cellStyle name="Normal 10 3 3 3 3" xfId="7491"/>
    <cellStyle name="Normal 10 3 3 4" xfId="3264"/>
    <cellStyle name="Normal 10 3 3 4 2" xfId="8900"/>
    <cellStyle name="Normal 10 3 3 5" xfId="6090"/>
    <cellStyle name="Normal 10 3 4" xfId="806"/>
    <cellStyle name="Normal 10 3 4 2" xfId="2207"/>
    <cellStyle name="Normal 10 3 4 2 2" xfId="5017"/>
    <cellStyle name="Normal 10 3 4 2 2 2" xfId="10653"/>
    <cellStyle name="Normal 10 3 4 2 3" xfId="7843"/>
    <cellStyle name="Normal 10 3 4 3" xfId="3616"/>
    <cellStyle name="Normal 10 3 4 3 2" xfId="9252"/>
    <cellStyle name="Normal 10 3 4 4" xfId="6442"/>
    <cellStyle name="Normal 10 3 5" xfId="1511"/>
    <cellStyle name="Normal 10 3 5 2" xfId="4321"/>
    <cellStyle name="Normal 10 3 5 2 2" xfId="9957"/>
    <cellStyle name="Normal 10 3 5 3" xfId="7147"/>
    <cellStyle name="Normal 10 3 6" xfId="2920"/>
    <cellStyle name="Normal 10 3 6 2" xfId="8556"/>
    <cellStyle name="Normal 10 3 7" xfId="5746"/>
    <cellStyle name="Normal 10 4" xfId="202"/>
    <cellStyle name="Normal 10 4 2" xfId="546"/>
    <cellStyle name="Normal 10 4 2 2" xfId="1242"/>
    <cellStyle name="Normal 10 4 2 2 2" xfId="2643"/>
    <cellStyle name="Normal 10 4 2 2 2 2" xfId="5453"/>
    <cellStyle name="Normal 10 4 2 2 2 2 2" xfId="11089"/>
    <cellStyle name="Normal 10 4 2 2 2 3" xfId="8279"/>
    <cellStyle name="Normal 10 4 2 2 3" xfId="4052"/>
    <cellStyle name="Normal 10 4 2 2 3 2" xfId="9688"/>
    <cellStyle name="Normal 10 4 2 2 4" xfId="6878"/>
    <cellStyle name="Normal 10 4 2 3" xfId="1947"/>
    <cellStyle name="Normal 10 4 2 3 2" xfId="4757"/>
    <cellStyle name="Normal 10 4 2 3 2 2" xfId="10393"/>
    <cellStyle name="Normal 10 4 2 3 3" xfId="7583"/>
    <cellStyle name="Normal 10 4 2 4" xfId="3356"/>
    <cellStyle name="Normal 10 4 2 4 2" xfId="8992"/>
    <cellStyle name="Normal 10 4 2 5" xfId="6182"/>
    <cellStyle name="Normal 10 4 3" xfId="898"/>
    <cellStyle name="Normal 10 4 3 2" xfId="2299"/>
    <cellStyle name="Normal 10 4 3 2 2" xfId="5109"/>
    <cellStyle name="Normal 10 4 3 2 2 2" xfId="10745"/>
    <cellStyle name="Normal 10 4 3 2 3" xfId="7935"/>
    <cellStyle name="Normal 10 4 3 3" xfId="3708"/>
    <cellStyle name="Normal 10 4 3 3 2" xfId="9344"/>
    <cellStyle name="Normal 10 4 3 4" xfId="6534"/>
    <cellStyle name="Normal 10 4 4" xfId="1603"/>
    <cellStyle name="Normal 10 4 4 2" xfId="4413"/>
    <cellStyle name="Normal 10 4 4 2 2" xfId="10049"/>
    <cellStyle name="Normal 10 4 4 3" xfId="7239"/>
    <cellStyle name="Normal 10 4 5" xfId="3012"/>
    <cellStyle name="Normal 10 4 5 2" xfId="8648"/>
    <cellStyle name="Normal 10 4 6" xfId="5838"/>
    <cellStyle name="Normal 10 5" xfId="374"/>
    <cellStyle name="Normal 10 5 2" xfId="1070"/>
    <cellStyle name="Normal 10 5 2 2" xfId="2471"/>
    <cellStyle name="Normal 10 5 2 2 2" xfId="5281"/>
    <cellStyle name="Normal 10 5 2 2 2 2" xfId="10917"/>
    <cellStyle name="Normal 10 5 2 2 3" xfId="8107"/>
    <cellStyle name="Normal 10 5 2 3" xfId="3880"/>
    <cellStyle name="Normal 10 5 2 3 2" xfId="9516"/>
    <cellStyle name="Normal 10 5 2 4" xfId="6706"/>
    <cellStyle name="Normal 10 5 3" xfId="1775"/>
    <cellStyle name="Normal 10 5 3 2" xfId="4585"/>
    <cellStyle name="Normal 10 5 3 2 2" xfId="10221"/>
    <cellStyle name="Normal 10 5 3 3" xfId="7411"/>
    <cellStyle name="Normal 10 5 4" xfId="3184"/>
    <cellStyle name="Normal 10 5 4 2" xfId="8820"/>
    <cellStyle name="Normal 10 5 5" xfId="6010"/>
    <cellStyle name="Normal 10 6" xfId="726"/>
    <cellStyle name="Normal 10 6 2" xfId="2127"/>
    <cellStyle name="Normal 10 6 2 2" xfId="4937"/>
    <cellStyle name="Normal 10 6 2 2 2" xfId="10573"/>
    <cellStyle name="Normal 10 6 2 3" xfId="7763"/>
    <cellStyle name="Normal 10 6 3" xfId="3536"/>
    <cellStyle name="Normal 10 6 3 2" xfId="9172"/>
    <cellStyle name="Normal 10 6 4" xfId="6362"/>
    <cellStyle name="Normal 10 7" xfId="1431"/>
    <cellStyle name="Normal 10 7 2" xfId="4241"/>
    <cellStyle name="Normal 10 7 2 2" xfId="9877"/>
    <cellStyle name="Normal 10 7 3" xfId="7067"/>
    <cellStyle name="Normal 10 8" xfId="2840"/>
    <cellStyle name="Normal 10 8 2" xfId="8476"/>
    <cellStyle name="Normal 10 9" xfId="5666"/>
    <cellStyle name="Normal 100" xfId="11323"/>
    <cellStyle name="Normal 101" xfId="11324"/>
    <cellStyle name="Normal 102" xfId="11325"/>
    <cellStyle name="Normal 103" xfId="11326"/>
    <cellStyle name="Normal 104" xfId="11327"/>
    <cellStyle name="Normal 105" xfId="11328"/>
    <cellStyle name="Normal 106" xfId="11329"/>
    <cellStyle name="Normal 107" xfId="11330"/>
    <cellStyle name="Normal 108" xfId="11331"/>
    <cellStyle name="Normal 109" xfId="11332"/>
    <cellStyle name="Normal 11" xfId="32"/>
    <cellStyle name="Normal 11 2" xfId="64"/>
    <cellStyle name="Normal 11 2 2" xfId="144"/>
    <cellStyle name="Normal 11 2 2 2" xfId="316"/>
    <cellStyle name="Normal 11 2 2 2 2" xfId="660"/>
    <cellStyle name="Normal 11 2 2 2 2 2" xfId="1356"/>
    <cellStyle name="Normal 11 2 2 2 2 2 2" xfId="2757"/>
    <cellStyle name="Normal 11 2 2 2 2 2 2 2" xfId="5567"/>
    <cellStyle name="Normal 11 2 2 2 2 2 2 2 2" xfId="11203"/>
    <cellStyle name="Normal 11 2 2 2 2 2 2 3" xfId="8393"/>
    <cellStyle name="Normal 11 2 2 2 2 2 3" xfId="4166"/>
    <cellStyle name="Normal 11 2 2 2 2 2 3 2" xfId="9802"/>
    <cellStyle name="Normal 11 2 2 2 2 2 4" xfId="6992"/>
    <cellStyle name="Normal 11 2 2 2 2 3" xfId="2061"/>
    <cellStyle name="Normal 11 2 2 2 2 3 2" xfId="4871"/>
    <cellStyle name="Normal 11 2 2 2 2 3 2 2" xfId="10507"/>
    <cellStyle name="Normal 11 2 2 2 2 3 3" xfId="7697"/>
    <cellStyle name="Normal 11 2 2 2 2 4" xfId="3470"/>
    <cellStyle name="Normal 11 2 2 2 2 4 2" xfId="9106"/>
    <cellStyle name="Normal 11 2 2 2 2 5" xfId="6296"/>
    <cellStyle name="Normal 11 2 2 2 3" xfId="1012"/>
    <cellStyle name="Normal 11 2 2 2 3 2" xfId="2413"/>
    <cellStyle name="Normal 11 2 2 2 3 2 2" xfId="5223"/>
    <cellStyle name="Normal 11 2 2 2 3 2 2 2" xfId="10859"/>
    <cellStyle name="Normal 11 2 2 2 3 2 3" xfId="8049"/>
    <cellStyle name="Normal 11 2 2 2 3 3" xfId="3822"/>
    <cellStyle name="Normal 11 2 2 2 3 3 2" xfId="9458"/>
    <cellStyle name="Normal 11 2 2 2 3 4" xfId="6648"/>
    <cellStyle name="Normal 11 2 2 2 4" xfId="1717"/>
    <cellStyle name="Normal 11 2 2 2 4 2" xfId="4527"/>
    <cellStyle name="Normal 11 2 2 2 4 2 2" xfId="10163"/>
    <cellStyle name="Normal 11 2 2 2 4 3" xfId="7353"/>
    <cellStyle name="Normal 11 2 2 2 5" xfId="3126"/>
    <cellStyle name="Normal 11 2 2 2 5 2" xfId="8762"/>
    <cellStyle name="Normal 11 2 2 2 6" xfId="5952"/>
    <cellStyle name="Normal 11 2 2 3" xfId="488"/>
    <cellStyle name="Normal 11 2 2 3 2" xfId="1184"/>
    <cellStyle name="Normal 11 2 2 3 2 2" xfId="2585"/>
    <cellStyle name="Normal 11 2 2 3 2 2 2" xfId="5395"/>
    <cellStyle name="Normal 11 2 2 3 2 2 2 2" xfId="11031"/>
    <cellStyle name="Normal 11 2 2 3 2 2 3" xfId="8221"/>
    <cellStyle name="Normal 11 2 2 3 2 3" xfId="3994"/>
    <cellStyle name="Normal 11 2 2 3 2 3 2" xfId="9630"/>
    <cellStyle name="Normal 11 2 2 3 2 4" xfId="6820"/>
    <cellStyle name="Normal 11 2 2 3 3" xfId="1889"/>
    <cellStyle name="Normal 11 2 2 3 3 2" xfId="4699"/>
    <cellStyle name="Normal 11 2 2 3 3 2 2" xfId="10335"/>
    <cellStyle name="Normal 11 2 2 3 3 3" xfId="7525"/>
    <cellStyle name="Normal 11 2 2 3 4" xfId="3298"/>
    <cellStyle name="Normal 11 2 2 3 4 2" xfId="8934"/>
    <cellStyle name="Normal 11 2 2 3 5" xfId="6124"/>
    <cellStyle name="Normal 11 2 2 4" xfId="840"/>
    <cellStyle name="Normal 11 2 2 4 2" xfId="2241"/>
    <cellStyle name="Normal 11 2 2 4 2 2" xfId="5051"/>
    <cellStyle name="Normal 11 2 2 4 2 2 2" xfId="10687"/>
    <cellStyle name="Normal 11 2 2 4 2 3" xfId="7877"/>
    <cellStyle name="Normal 11 2 2 4 3" xfId="3650"/>
    <cellStyle name="Normal 11 2 2 4 3 2" xfId="9286"/>
    <cellStyle name="Normal 11 2 2 4 4" xfId="6476"/>
    <cellStyle name="Normal 11 2 2 5" xfId="1545"/>
    <cellStyle name="Normal 11 2 2 5 2" xfId="4355"/>
    <cellStyle name="Normal 11 2 2 5 2 2" xfId="9991"/>
    <cellStyle name="Normal 11 2 2 5 3" xfId="7181"/>
    <cellStyle name="Normal 11 2 2 6" xfId="2954"/>
    <cellStyle name="Normal 11 2 2 6 2" xfId="8590"/>
    <cellStyle name="Normal 11 2 2 7" xfId="5780"/>
    <cellStyle name="Normal 11 2 3" xfId="236"/>
    <cellStyle name="Normal 11 2 3 2" xfId="580"/>
    <cellStyle name="Normal 11 2 3 2 2" xfId="1276"/>
    <cellStyle name="Normal 11 2 3 2 2 2" xfId="2677"/>
    <cellStyle name="Normal 11 2 3 2 2 2 2" xfId="5487"/>
    <cellStyle name="Normal 11 2 3 2 2 2 2 2" xfId="11123"/>
    <cellStyle name="Normal 11 2 3 2 2 2 3" xfId="8313"/>
    <cellStyle name="Normal 11 2 3 2 2 3" xfId="4086"/>
    <cellStyle name="Normal 11 2 3 2 2 3 2" xfId="9722"/>
    <cellStyle name="Normal 11 2 3 2 2 4" xfId="6912"/>
    <cellStyle name="Normal 11 2 3 2 3" xfId="1981"/>
    <cellStyle name="Normal 11 2 3 2 3 2" xfId="4791"/>
    <cellStyle name="Normal 11 2 3 2 3 2 2" xfId="10427"/>
    <cellStyle name="Normal 11 2 3 2 3 3" xfId="7617"/>
    <cellStyle name="Normal 11 2 3 2 4" xfId="3390"/>
    <cellStyle name="Normal 11 2 3 2 4 2" xfId="9026"/>
    <cellStyle name="Normal 11 2 3 2 5" xfId="6216"/>
    <cellStyle name="Normal 11 2 3 3" xfId="932"/>
    <cellStyle name="Normal 11 2 3 3 2" xfId="2333"/>
    <cellStyle name="Normal 11 2 3 3 2 2" xfId="5143"/>
    <cellStyle name="Normal 11 2 3 3 2 2 2" xfId="10779"/>
    <cellStyle name="Normal 11 2 3 3 2 3" xfId="7969"/>
    <cellStyle name="Normal 11 2 3 3 3" xfId="3742"/>
    <cellStyle name="Normal 11 2 3 3 3 2" xfId="9378"/>
    <cellStyle name="Normal 11 2 3 3 4" xfId="6568"/>
    <cellStyle name="Normal 11 2 3 4" xfId="1637"/>
    <cellStyle name="Normal 11 2 3 4 2" xfId="4447"/>
    <cellStyle name="Normal 11 2 3 4 2 2" xfId="10083"/>
    <cellStyle name="Normal 11 2 3 4 3" xfId="7273"/>
    <cellStyle name="Normal 11 2 3 5" xfId="3046"/>
    <cellStyle name="Normal 11 2 3 5 2" xfId="8682"/>
    <cellStyle name="Normal 11 2 3 6" xfId="5872"/>
    <cellStyle name="Normal 11 2 4" xfId="408"/>
    <cellStyle name="Normal 11 2 4 2" xfId="1104"/>
    <cellStyle name="Normal 11 2 4 2 2" xfId="2505"/>
    <cellStyle name="Normal 11 2 4 2 2 2" xfId="5315"/>
    <cellStyle name="Normal 11 2 4 2 2 2 2" xfId="10951"/>
    <cellStyle name="Normal 11 2 4 2 2 3" xfId="8141"/>
    <cellStyle name="Normal 11 2 4 2 3" xfId="3914"/>
    <cellStyle name="Normal 11 2 4 2 3 2" xfId="9550"/>
    <cellStyle name="Normal 11 2 4 2 4" xfId="6740"/>
    <cellStyle name="Normal 11 2 4 3" xfId="1809"/>
    <cellStyle name="Normal 11 2 4 3 2" xfId="4619"/>
    <cellStyle name="Normal 11 2 4 3 2 2" xfId="10255"/>
    <cellStyle name="Normal 11 2 4 3 3" xfId="7445"/>
    <cellStyle name="Normal 11 2 4 4" xfId="3218"/>
    <cellStyle name="Normal 11 2 4 4 2" xfId="8854"/>
    <cellStyle name="Normal 11 2 4 5" xfId="6044"/>
    <cellStyle name="Normal 11 2 5" xfId="760"/>
    <cellStyle name="Normal 11 2 5 2" xfId="2161"/>
    <cellStyle name="Normal 11 2 5 2 2" xfId="4971"/>
    <cellStyle name="Normal 11 2 5 2 2 2" xfId="10607"/>
    <cellStyle name="Normal 11 2 5 2 3" xfId="7797"/>
    <cellStyle name="Normal 11 2 5 3" xfId="3570"/>
    <cellStyle name="Normal 11 2 5 3 2" xfId="9206"/>
    <cellStyle name="Normal 11 2 5 4" xfId="6396"/>
    <cellStyle name="Normal 11 2 6" xfId="1465"/>
    <cellStyle name="Normal 11 2 6 2" xfId="4275"/>
    <cellStyle name="Normal 11 2 6 2 2" xfId="9911"/>
    <cellStyle name="Normal 11 2 6 3" xfId="7101"/>
    <cellStyle name="Normal 11 2 7" xfId="2874"/>
    <cellStyle name="Normal 11 2 7 2" xfId="8510"/>
    <cellStyle name="Normal 11 2 8" xfId="5700"/>
    <cellStyle name="Normal 11 3" xfId="112"/>
    <cellStyle name="Normal 11 3 2" xfId="284"/>
    <cellStyle name="Normal 11 3 2 2" xfId="628"/>
    <cellStyle name="Normal 11 3 2 2 2" xfId="1324"/>
    <cellStyle name="Normal 11 3 2 2 2 2" xfId="2725"/>
    <cellStyle name="Normal 11 3 2 2 2 2 2" xfId="5535"/>
    <cellStyle name="Normal 11 3 2 2 2 2 2 2" xfId="11171"/>
    <cellStyle name="Normal 11 3 2 2 2 2 3" xfId="8361"/>
    <cellStyle name="Normal 11 3 2 2 2 3" xfId="4134"/>
    <cellStyle name="Normal 11 3 2 2 2 3 2" xfId="9770"/>
    <cellStyle name="Normal 11 3 2 2 2 4" xfId="6960"/>
    <cellStyle name="Normal 11 3 2 2 3" xfId="2029"/>
    <cellStyle name="Normal 11 3 2 2 3 2" xfId="4839"/>
    <cellStyle name="Normal 11 3 2 2 3 2 2" xfId="10475"/>
    <cellStyle name="Normal 11 3 2 2 3 3" xfId="7665"/>
    <cellStyle name="Normal 11 3 2 2 4" xfId="3438"/>
    <cellStyle name="Normal 11 3 2 2 4 2" xfId="9074"/>
    <cellStyle name="Normal 11 3 2 2 5" xfId="6264"/>
    <cellStyle name="Normal 11 3 2 3" xfId="980"/>
    <cellStyle name="Normal 11 3 2 3 2" xfId="2381"/>
    <cellStyle name="Normal 11 3 2 3 2 2" xfId="5191"/>
    <cellStyle name="Normal 11 3 2 3 2 2 2" xfId="10827"/>
    <cellStyle name="Normal 11 3 2 3 2 3" xfId="8017"/>
    <cellStyle name="Normal 11 3 2 3 3" xfId="3790"/>
    <cellStyle name="Normal 11 3 2 3 3 2" xfId="9426"/>
    <cellStyle name="Normal 11 3 2 3 4" xfId="6616"/>
    <cellStyle name="Normal 11 3 2 4" xfId="1685"/>
    <cellStyle name="Normal 11 3 2 4 2" xfId="4495"/>
    <cellStyle name="Normal 11 3 2 4 2 2" xfId="10131"/>
    <cellStyle name="Normal 11 3 2 4 3" xfId="7321"/>
    <cellStyle name="Normal 11 3 2 5" xfId="3094"/>
    <cellStyle name="Normal 11 3 2 5 2" xfId="8730"/>
    <cellStyle name="Normal 11 3 2 6" xfId="5920"/>
    <cellStyle name="Normal 11 3 3" xfId="456"/>
    <cellStyle name="Normal 11 3 3 2" xfId="1152"/>
    <cellStyle name="Normal 11 3 3 2 2" xfId="2553"/>
    <cellStyle name="Normal 11 3 3 2 2 2" xfId="5363"/>
    <cellStyle name="Normal 11 3 3 2 2 2 2" xfId="10999"/>
    <cellStyle name="Normal 11 3 3 2 2 3" xfId="8189"/>
    <cellStyle name="Normal 11 3 3 2 3" xfId="3962"/>
    <cellStyle name="Normal 11 3 3 2 3 2" xfId="9598"/>
    <cellStyle name="Normal 11 3 3 2 4" xfId="6788"/>
    <cellStyle name="Normal 11 3 3 3" xfId="1857"/>
    <cellStyle name="Normal 11 3 3 3 2" xfId="4667"/>
    <cellStyle name="Normal 11 3 3 3 2 2" xfId="10303"/>
    <cellStyle name="Normal 11 3 3 3 3" xfId="7493"/>
    <cellStyle name="Normal 11 3 3 4" xfId="3266"/>
    <cellStyle name="Normal 11 3 3 4 2" xfId="8902"/>
    <cellStyle name="Normal 11 3 3 5" xfId="6092"/>
    <cellStyle name="Normal 11 3 4" xfId="808"/>
    <cellStyle name="Normal 11 3 4 2" xfId="2209"/>
    <cellStyle name="Normal 11 3 4 2 2" xfId="5019"/>
    <cellStyle name="Normal 11 3 4 2 2 2" xfId="10655"/>
    <cellStyle name="Normal 11 3 4 2 3" xfId="7845"/>
    <cellStyle name="Normal 11 3 4 3" xfId="3618"/>
    <cellStyle name="Normal 11 3 4 3 2" xfId="9254"/>
    <cellStyle name="Normal 11 3 4 4" xfId="6444"/>
    <cellStyle name="Normal 11 3 5" xfId="1513"/>
    <cellStyle name="Normal 11 3 5 2" xfId="4323"/>
    <cellStyle name="Normal 11 3 5 2 2" xfId="9959"/>
    <cellStyle name="Normal 11 3 5 3" xfId="7149"/>
    <cellStyle name="Normal 11 3 6" xfId="2922"/>
    <cellStyle name="Normal 11 3 6 2" xfId="8558"/>
    <cellStyle name="Normal 11 3 7" xfId="5748"/>
    <cellStyle name="Normal 11 4" xfId="204"/>
    <cellStyle name="Normal 11 4 2" xfId="548"/>
    <cellStyle name="Normal 11 4 2 2" xfId="1244"/>
    <cellStyle name="Normal 11 4 2 2 2" xfId="2645"/>
    <cellStyle name="Normal 11 4 2 2 2 2" xfId="5455"/>
    <cellStyle name="Normal 11 4 2 2 2 2 2" xfId="11091"/>
    <cellStyle name="Normal 11 4 2 2 2 3" xfId="8281"/>
    <cellStyle name="Normal 11 4 2 2 3" xfId="4054"/>
    <cellStyle name="Normal 11 4 2 2 3 2" xfId="9690"/>
    <cellStyle name="Normal 11 4 2 2 4" xfId="6880"/>
    <cellStyle name="Normal 11 4 2 3" xfId="1949"/>
    <cellStyle name="Normal 11 4 2 3 2" xfId="4759"/>
    <cellStyle name="Normal 11 4 2 3 2 2" xfId="10395"/>
    <cellStyle name="Normal 11 4 2 3 3" xfId="7585"/>
    <cellStyle name="Normal 11 4 2 4" xfId="3358"/>
    <cellStyle name="Normal 11 4 2 4 2" xfId="8994"/>
    <cellStyle name="Normal 11 4 2 5" xfId="6184"/>
    <cellStyle name="Normal 11 4 3" xfId="900"/>
    <cellStyle name="Normal 11 4 3 2" xfId="2301"/>
    <cellStyle name="Normal 11 4 3 2 2" xfId="5111"/>
    <cellStyle name="Normal 11 4 3 2 2 2" xfId="10747"/>
    <cellStyle name="Normal 11 4 3 2 3" xfId="7937"/>
    <cellStyle name="Normal 11 4 3 3" xfId="3710"/>
    <cellStyle name="Normal 11 4 3 3 2" xfId="9346"/>
    <cellStyle name="Normal 11 4 3 4" xfId="6536"/>
    <cellStyle name="Normal 11 4 4" xfId="1605"/>
    <cellStyle name="Normal 11 4 4 2" xfId="4415"/>
    <cellStyle name="Normal 11 4 4 2 2" xfId="10051"/>
    <cellStyle name="Normal 11 4 4 3" xfId="7241"/>
    <cellStyle name="Normal 11 4 5" xfId="3014"/>
    <cellStyle name="Normal 11 4 5 2" xfId="8650"/>
    <cellStyle name="Normal 11 4 6" xfId="5840"/>
    <cellStyle name="Normal 11 5" xfId="376"/>
    <cellStyle name="Normal 11 5 2" xfId="1072"/>
    <cellStyle name="Normal 11 5 2 2" xfId="2473"/>
    <cellStyle name="Normal 11 5 2 2 2" xfId="5283"/>
    <cellStyle name="Normal 11 5 2 2 2 2" xfId="10919"/>
    <cellStyle name="Normal 11 5 2 2 3" xfId="8109"/>
    <cellStyle name="Normal 11 5 2 3" xfId="3882"/>
    <cellStyle name="Normal 11 5 2 3 2" xfId="9518"/>
    <cellStyle name="Normal 11 5 2 4" xfId="6708"/>
    <cellStyle name="Normal 11 5 3" xfId="1777"/>
    <cellStyle name="Normal 11 5 3 2" xfId="4587"/>
    <cellStyle name="Normal 11 5 3 2 2" xfId="10223"/>
    <cellStyle name="Normal 11 5 3 3" xfId="7413"/>
    <cellStyle name="Normal 11 5 4" xfId="3186"/>
    <cellStyle name="Normal 11 5 4 2" xfId="8822"/>
    <cellStyle name="Normal 11 5 5" xfId="6012"/>
    <cellStyle name="Normal 11 6" xfId="728"/>
    <cellStyle name="Normal 11 6 2" xfId="2129"/>
    <cellStyle name="Normal 11 6 2 2" xfId="4939"/>
    <cellStyle name="Normal 11 6 2 2 2" xfId="10575"/>
    <cellStyle name="Normal 11 6 2 3" xfId="7765"/>
    <cellStyle name="Normal 11 6 3" xfId="3538"/>
    <cellStyle name="Normal 11 6 3 2" xfId="9174"/>
    <cellStyle name="Normal 11 6 4" xfId="6364"/>
    <cellStyle name="Normal 11 7" xfId="1433"/>
    <cellStyle name="Normal 11 7 2" xfId="4243"/>
    <cellStyle name="Normal 11 7 2 2" xfId="9879"/>
    <cellStyle name="Normal 11 7 3" xfId="7069"/>
    <cellStyle name="Normal 11 8" xfId="2842"/>
    <cellStyle name="Normal 11 8 2" xfId="8478"/>
    <cellStyle name="Normal 11 9" xfId="5668"/>
    <cellStyle name="Normal 110" xfId="11333"/>
    <cellStyle name="Normal 111" xfId="11334"/>
    <cellStyle name="Normal 112" xfId="11335"/>
    <cellStyle name="Normal 113" xfId="11336"/>
    <cellStyle name="Normal 114" xfId="11337"/>
    <cellStyle name="Normal 115" xfId="11338"/>
    <cellStyle name="Normal 116" xfId="11339"/>
    <cellStyle name="Normal 117" xfId="11340"/>
    <cellStyle name="Normal 118" xfId="11341"/>
    <cellStyle name="Normal 119" xfId="11342"/>
    <cellStyle name="Normal 12" xfId="34"/>
    <cellStyle name="Normal 12 2" xfId="114"/>
    <cellStyle name="Normal 12 2 2" xfId="286"/>
    <cellStyle name="Normal 12 2 2 2" xfId="630"/>
    <cellStyle name="Normal 12 2 2 2 2" xfId="1326"/>
    <cellStyle name="Normal 12 2 2 2 2 2" xfId="2727"/>
    <cellStyle name="Normal 12 2 2 2 2 2 2" xfId="5537"/>
    <cellStyle name="Normal 12 2 2 2 2 2 2 2" xfId="11173"/>
    <cellStyle name="Normal 12 2 2 2 2 2 3" xfId="8363"/>
    <cellStyle name="Normal 12 2 2 2 2 3" xfId="4136"/>
    <cellStyle name="Normal 12 2 2 2 2 3 2" xfId="9772"/>
    <cellStyle name="Normal 12 2 2 2 2 4" xfId="6962"/>
    <cellStyle name="Normal 12 2 2 2 3" xfId="2031"/>
    <cellStyle name="Normal 12 2 2 2 3 2" xfId="4841"/>
    <cellStyle name="Normal 12 2 2 2 3 2 2" xfId="10477"/>
    <cellStyle name="Normal 12 2 2 2 3 3" xfId="7667"/>
    <cellStyle name="Normal 12 2 2 2 4" xfId="3440"/>
    <cellStyle name="Normal 12 2 2 2 4 2" xfId="9076"/>
    <cellStyle name="Normal 12 2 2 2 5" xfId="6266"/>
    <cellStyle name="Normal 12 2 2 3" xfId="982"/>
    <cellStyle name="Normal 12 2 2 3 2" xfId="2383"/>
    <cellStyle name="Normal 12 2 2 3 2 2" xfId="5193"/>
    <cellStyle name="Normal 12 2 2 3 2 2 2" xfId="10829"/>
    <cellStyle name="Normal 12 2 2 3 2 3" xfId="8019"/>
    <cellStyle name="Normal 12 2 2 3 3" xfId="3792"/>
    <cellStyle name="Normal 12 2 2 3 3 2" xfId="9428"/>
    <cellStyle name="Normal 12 2 2 3 4" xfId="6618"/>
    <cellStyle name="Normal 12 2 2 4" xfId="1687"/>
    <cellStyle name="Normal 12 2 2 4 2" xfId="4497"/>
    <cellStyle name="Normal 12 2 2 4 2 2" xfId="10133"/>
    <cellStyle name="Normal 12 2 2 4 3" xfId="7323"/>
    <cellStyle name="Normal 12 2 2 5" xfId="3096"/>
    <cellStyle name="Normal 12 2 2 5 2" xfId="8732"/>
    <cellStyle name="Normal 12 2 2 6" xfId="5922"/>
    <cellStyle name="Normal 12 2 3" xfId="458"/>
    <cellStyle name="Normal 12 2 3 2" xfId="1154"/>
    <cellStyle name="Normal 12 2 3 2 2" xfId="2555"/>
    <cellStyle name="Normal 12 2 3 2 2 2" xfId="5365"/>
    <cellStyle name="Normal 12 2 3 2 2 2 2" xfId="11001"/>
    <cellStyle name="Normal 12 2 3 2 2 3" xfId="8191"/>
    <cellStyle name="Normal 12 2 3 2 3" xfId="3964"/>
    <cellStyle name="Normal 12 2 3 2 3 2" xfId="9600"/>
    <cellStyle name="Normal 12 2 3 2 4" xfId="6790"/>
    <cellStyle name="Normal 12 2 3 3" xfId="1859"/>
    <cellStyle name="Normal 12 2 3 3 2" xfId="4669"/>
    <cellStyle name="Normal 12 2 3 3 2 2" xfId="10305"/>
    <cellStyle name="Normal 12 2 3 3 3" xfId="7495"/>
    <cellStyle name="Normal 12 2 3 4" xfId="3268"/>
    <cellStyle name="Normal 12 2 3 4 2" xfId="8904"/>
    <cellStyle name="Normal 12 2 3 5" xfId="6094"/>
    <cellStyle name="Normal 12 2 4" xfId="810"/>
    <cellStyle name="Normal 12 2 4 2" xfId="2211"/>
    <cellStyle name="Normal 12 2 4 2 2" xfId="5021"/>
    <cellStyle name="Normal 12 2 4 2 2 2" xfId="10657"/>
    <cellStyle name="Normal 12 2 4 2 3" xfId="7847"/>
    <cellStyle name="Normal 12 2 4 3" xfId="3620"/>
    <cellStyle name="Normal 12 2 4 3 2" xfId="9256"/>
    <cellStyle name="Normal 12 2 4 4" xfId="6446"/>
    <cellStyle name="Normal 12 2 5" xfId="1515"/>
    <cellStyle name="Normal 12 2 5 2" xfId="4325"/>
    <cellStyle name="Normal 12 2 5 2 2" xfId="9961"/>
    <cellStyle name="Normal 12 2 5 3" xfId="7151"/>
    <cellStyle name="Normal 12 2 6" xfId="2924"/>
    <cellStyle name="Normal 12 2 6 2" xfId="8560"/>
    <cellStyle name="Normal 12 2 7" xfId="5750"/>
    <cellStyle name="Normal 12 3" xfId="206"/>
    <cellStyle name="Normal 12 3 2" xfId="550"/>
    <cellStyle name="Normal 12 3 2 2" xfId="1246"/>
    <cellStyle name="Normal 12 3 2 2 2" xfId="2647"/>
    <cellStyle name="Normal 12 3 2 2 2 2" xfId="5457"/>
    <cellStyle name="Normal 12 3 2 2 2 2 2" xfId="11093"/>
    <cellStyle name="Normal 12 3 2 2 2 3" xfId="8283"/>
    <cellStyle name="Normal 12 3 2 2 3" xfId="4056"/>
    <cellStyle name="Normal 12 3 2 2 3 2" xfId="9692"/>
    <cellStyle name="Normal 12 3 2 2 4" xfId="6882"/>
    <cellStyle name="Normal 12 3 2 3" xfId="1951"/>
    <cellStyle name="Normal 12 3 2 3 2" xfId="4761"/>
    <cellStyle name="Normal 12 3 2 3 2 2" xfId="10397"/>
    <cellStyle name="Normal 12 3 2 3 3" xfId="7587"/>
    <cellStyle name="Normal 12 3 2 4" xfId="3360"/>
    <cellStyle name="Normal 12 3 2 4 2" xfId="8996"/>
    <cellStyle name="Normal 12 3 2 5" xfId="6186"/>
    <cellStyle name="Normal 12 3 3" xfId="902"/>
    <cellStyle name="Normal 12 3 3 2" xfId="2303"/>
    <cellStyle name="Normal 12 3 3 2 2" xfId="5113"/>
    <cellStyle name="Normal 12 3 3 2 2 2" xfId="10749"/>
    <cellStyle name="Normal 12 3 3 2 3" xfId="7939"/>
    <cellStyle name="Normal 12 3 3 3" xfId="3712"/>
    <cellStyle name="Normal 12 3 3 3 2" xfId="9348"/>
    <cellStyle name="Normal 12 3 3 4" xfId="6538"/>
    <cellStyle name="Normal 12 3 4" xfId="1607"/>
    <cellStyle name="Normal 12 3 4 2" xfId="4417"/>
    <cellStyle name="Normal 12 3 4 2 2" xfId="10053"/>
    <cellStyle name="Normal 12 3 4 3" xfId="7243"/>
    <cellStyle name="Normal 12 3 5" xfId="3016"/>
    <cellStyle name="Normal 12 3 5 2" xfId="8652"/>
    <cellStyle name="Normal 12 3 6" xfId="5842"/>
    <cellStyle name="Normal 12 4" xfId="378"/>
    <cellStyle name="Normal 12 4 2" xfId="1074"/>
    <cellStyle name="Normal 12 4 2 2" xfId="2475"/>
    <cellStyle name="Normal 12 4 2 2 2" xfId="5285"/>
    <cellStyle name="Normal 12 4 2 2 2 2" xfId="10921"/>
    <cellStyle name="Normal 12 4 2 2 3" xfId="8111"/>
    <cellStyle name="Normal 12 4 2 3" xfId="3884"/>
    <cellStyle name="Normal 12 4 2 3 2" xfId="9520"/>
    <cellStyle name="Normal 12 4 2 4" xfId="6710"/>
    <cellStyle name="Normal 12 4 3" xfId="1779"/>
    <cellStyle name="Normal 12 4 3 2" xfId="4589"/>
    <cellStyle name="Normal 12 4 3 2 2" xfId="10225"/>
    <cellStyle name="Normal 12 4 3 3" xfId="7415"/>
    <cellStyle name="Normal 12 4 4" xfId="3188"/>
    <cellStyle name="Normal 12 4 4 2" xfId="8824"/>
    <cellStyle name="Normal 12 4 5" xfId="6014"/>
    <cellStyle name="Normal 12 5" xfId="730"/>
    <cellStyle name="Normal 12 5 2" xfId="2131"/>
    <cellStyle name="Normal 12 5 2 2" xfId="4941"/>
    <cellStyle name="Normal 12 5 2 2 2" xfId="10577"/>
    <cellStyle name="Normal 12 5 2 3" xfId="7767"/>
    <cellStyle name="Normal 12 5 3" xfId="3540"/>
    <cellStyle name="Normal 12 5 3 2" xfId="9176"/>
    <cellStyle name="Normal 12 5 4" xfId="6366"/>
    <cellStyle name="Normal 12 6" xfId="1435"/>
    <cellStyle name="Normal 12 6 2" xfId="4245"/>
    <cellStyle name="Normal 12 6 2 2" xfId="9881"/>
    <cellStyle name="Normal 12 6 3" xfId="7071"/>
    <cellStyle name="Normal 12 7" xfId="2844"/>
    <cellStyle name="Normal 12 7 2" xfId="8480"/>
    <cellStyle name="Normal 12 8" xfId="5670"/>
    <cellStyle name="Normal 120" xfId="11343"/>
    <cellStyle name="Normal 121" xfId="11344"/>
    <cellStyle name="Normal 122" xfId="11345"/>
    <cellStyle name="Normal 123" xfId="11346"/>
    <cellStyle name="Normal 124" xfId="11347"/>
    <cellStyle name="Normal 125" xfId="11348"/>
    <cellStyle name="Normal 126" xfId="11349"/>
    <cellStyle name="Normal 13" xfId="67"/>
    <cellStyle name="Normal 13 2" xfId="147"/>
    <cellStyle name="Normal 13 2 2" xfId="319"/>
    <cellStyle name="Normal 13 2 2 2" xfId="663"/>
    <cellStyle name="Normal 13 2 2 2 2" xfId="1359"/>
    <cellStyle name="Normal 13 2 2 2 2 2" xfId="2760"/>
    <cellStyle name="Normal 13 2 2 2 2 2 2" xfId="5570"/>
    <cellStyle name="Normal 13 2 2 2 2 2 2 2" xfId="11206"/>
    <cellStyle name="Normal 13 2 2 2 2 2 3" xfId="8396"/>
    <cellStyle name="Normal 13 2 2 2 2 3" xfId="4169"/>
    <cellStyle name="Normal 13 2 2 2 2 3 2" xfId="9805"/>
    <cellStyle name="Normal 13 2 2 2 2 4" xfId="6995"/>
    <cellStyle name="Normal 13 2 2 2 3" xfId="2064"/>
    <cellStyle name="Normal 13 2 2 2 3 2" xfId="4874"/>
    <cellStyle name="Normal 13 2 2 2 3 2 2" xfId="10510"/>
    <cellStyle name="Normal 13 2 2 2 3 3" xfId="7700"/>
    <cellStyle name="Normal 13 2 2 2 4" xfId="3473"/>
    <cellStyle name="Normal 13 2 2 2 4 2" xfId="9109"/>
    <cellStyle name="Normal 13 2 2 2 5" xfId="6299"/>
    <cellStyle name="Normal 13 2 2 3" xfId="1015"/>
    <cellStyle name="Normal 13 2 2 3 2" xfId="2416"/>
    <cellStyle name="Normal 13 2 2 3 2 2" xfId="5226"/>
    <cellStyle name="Normal 13 2 2 3 2 2 2" xfId="10862"/>
    <cellStyle name="Normal 13 2 2 3 2 3" xfId="8052"/>
    <cellStyle name="Normal 13 2 2 3 3" xfId="3825"/>
    <cellStyle name="Normal 13 2 2 3 3 2" xfId="9461"/>
    <cellStyle name="Normal 13 2 2 3 4" xfId="6651"/>
    <cellStyle name="Normal 13 2 2 4" xfId="1720"/>
    <cellStyle name="Normal 13 2 2 4 2" xfId="4530"/>
    <cellStyle name="Normal 13 2 2 4 2 2" xfId="10166"/>
    <cellStyle name="Normal 13 2 2 4 3" xfId="7356"/>
    <cellStyle name="Normal 13 2 2 5" xfId="3129"/>
    <cellStyle name="Normal 13 2 2 5 2" xfId="8765"/>
    <cellStyle name="Normal 13 2 2 6" xfId="5955"/>
    <cellStyle name="Normal 13 2 3" xfId="491"/>
    <cellStyle name="Normal 13 2 3 2" xfId="1187"/>
    <cellStyle name="Normal 13 2 3 2 2" xfId="2588"/>
    <cellStyle name="Normal 13 2 3 2 2 2" xfId="5398"/>
    <cellStyle name="Normal 13 2 3 2 2 2 2" xfId="11034"/>
    <cellStyle name="Normal 13 2 3 2 2 3" xfId="8224"/>
    <cellStyle name="Normal 13 2 3 2 3" xfId="3997"/>
    <cellStyle name="Normal 13 2 3 2 3 2" xfId="9633"/>
    <cellStyle name="Normal 13 2 3 2 4" xfId="6823"/>
    <cellStyle name="Normal 13 2 3 3" xfId="1892"/>
    <cellStyle name="Normal 13 2 3 3 2" xfId="4702"/>
    <cellStyle name="Normal 13 2 3 3 2 2" xfId="10338"/>
    <cellStyle name="Normal 13 2 3 3 3" xfId="7528"/>
    <cellStyle name="Normal 13 2 3 4" xfId="3301"/>
    <cellStyle name="Normal 13 2 3 4 2" xfId="8937"/>
    <cellStyle name="Normal 13 2 3 5" xfId="6127"/>
    <cellStyle name="Normal 13 2 4" xfId="843"/>
    <cellStyle name="Normal 13 2 4 2" xfId="2244"/>
    <cellStyle name="Normal 13 2 4 2 2" xfId="5054"/>
    <cellStyle name="Normal 13 2 4 2 2 2" xfId="10690"/>
    <cellStyle name="Normal 13 2 4 2 3" xfId="7880"/>
    <cellStyle name="Normal 13 2 4 3" xfId="3653"/>
    <cellStyle name="Normal 13 2 4 3 2" xfId="9289"/>
    <cellStyle name="Normal 13 2 4 4" xfId="6479"/>
    <cellStyle name="Normal 13 2 5" xfId="1548"/>
    <cellStyle name="Normal 13 2 5 2" xfId="4358"/>
    <cellStyle name="Normal 13 2 5 2 2" xfId="9994"/>
    <cellStyle name="Normal 13 2 5 3" xfId="7184"/>
    <cellStyle name="Normal 13 2 6" xfId="2957"/>
    <cellStyle name="Normal 13 2 6 2" xfId="8593"/>
    <cellStyle name="Normal 13 2 7" xfId="5783"/>
    <cellStyle name="Normal 13 3" xfId="239"/>
    <cellStyle name="Normal 13 3 2" xfId="583"/>
    <cellStyle name="Normal 13 3 2 2" xfId="1279"/>
    <cellStyle name="Normal 13 3 2 2 2" xfId="2680"/>
    <cellStyle name="Normal 13 3 2 2 2 2" xfId="5490"/>
    <cellStyle name="Normal 13 3 2 2 2 2 2" xfId="11126"/>
    <cellStyle name="Normal 13 3 2 2 2 3" xfId="8316"/>
    <cellStyle name="Normal 13 3 2 2 3" xfId="4089"/>
    <cellStyle name="Normal 13 3 2 2 3 2" xfId="9725"/>
    <cellStyle name="Normal 13 3 2 2 4" xfId="6915"/>
    <cellStyle name="Normal 13 3 2 3" xfId="1984"/>
    <cellStyle name="Normal 13 3 2 3 2" xfId="4794"/>
    <cellStyle name="Normal 13 3 2 3 2 2" xfId="10430"/>
    <cellStyle name="Normal 13 3 2 3 3" xfId="7620"/>
    <cellStyle name="Normal 13 3 2 4" xfId="3393"/>
    <cellStyle name="Normal 13 3 2 4 2" xfId="9029"/>
    <cellStyle name="Normal 13 3 2 5" xfId="6219"/>
    <cellStyle name="Normal 13 3 3" xfId="935"/>
    <cellStyle name="Normal 13 3 3 2" xfId="2336"/>
    <cellStyle name="Normal 13 3 3 2 2" xfId="5146"/>
    <cellStyle name="Normal 13 3 3 2 2 2" xfId="10782"/>
    <cellStyle name="Normal 13 3 3 2 3" xfId="7972"/>
    <cellStyle name="Normal 13 3 3 3" xfId="3745"/>
    <cellStyle name="Normal 13 3 3 3 2" xfId="9381"/>
    <cellStyle name="Normal 13 3 3 4" xfId="6571"/>
    <cellStyle name="Normal 13 3 4" xfId="1640"/>
    <cellStyle name="Normal 13 3 4 2" xfId="4450"/>
    <cellStyle name="Normal 13 3 4 2 2" xfId="10086"/>
    <cellStyle name="Normal 13 3 4 3" xfId="7276"/>
    <cellStyle name="Normal 13 3 5" xfId="3049"/>
    <cellStyle name="Normal 13 3 5 2" xfId="8685"/>
    <cellStyle name="Normal 13 3 6" xfId="5875"/>
    <cellStyle name="Normal 13 4" xfId="411"/>
    <cellStyle name="Normal 13 4 2" xfId="1107"/>
    <cellStyle name="Normal 13 4 2 2" xfId="2508"/>
    <cellStyle name="Normal 13 4 2 2 2" xfId="5318"/>
    <cellStyle name="Normal 13 4 2 2 2 2" xfId="10954"/>
    <cellStyle name="Normal 13 4 2 2 3" xfId="8144"/>
    <cellStyle name="Normal 13 4 2 3" xfId="3917"/>
    <cellStyle name="Normal 13 4 2 3 2" xfId="9553"/>
    <cellStyle name="Normal 13 4 2 4" xfId="6743"/>
    <cellStyle name="Normal 13 4 3" xfId="1812"/>
    <cellStyle name="Normal 13 4 3 2" xfId="4622"/>
    <cellStyle name="Normal 13 4 3 2 2" xfId="10258"/>
    <cellStyle name="Normal 13 4 3 3" xfId="7448"/>
    <cellStyle name="Normal 13 4 4" xfId="3221"/>
    <cellStyle name="Normal 13 4 4 2" xfId="8857"/>
    <cellStyle name="Normal 13 4 5" xfId="6047"/>
    <cellStyle name="Normal 13 5" xfId="763"/>
    <cellStyle name="Normal 13 5 2" xfId="2164"/>
    <cellStyle name="Normal 13 5 2 2" xfId="4974"/>
    <cellStyle name="Normal 13 5 2 2 2" xfId="10610"/>
    <cellStyle name="Normal 13 5 2 3" xfId="7800"/>
    <cellStyle name="Normal 13 5 3" xfId="3573"/>
    <cellStyle name="Normal 13 5 3 2" xfId="9209"/>
    <cellStyle name="Normal 13 5 4" xfId="6399"/>
    <cellStyle name="Normal 13 6" xfId="1468"/>
    <cellStyle name="Normal 13 6 2" xfId="4278"/>
    <cellStyle name="Normal 13 6 2 2" xfId="9914"/>
    <cellStyle name="Normal 13 6 3" xfId="7104"/>
    <cellStyle name="Normal 13 7" xfId="2877"/>
    <cellStyle name="Normal 13 7 2" xfId="8513"/>
    <cellStyle name="Normal 13 8" xfId="5703"/>
    <cellStyle name="Normal 14" xfId="69"/>
    <cellStyle name="Normal 14 2" xfId="149"/>
    <cellStyle name="Normal 14 2 2" xfId="321"/>
    <cellStyle name="Normal 14 2 2 2" xfId="665"/>
    <cellStyle name="Normal 14 2 2 2 2" xfId="1361"/>
    <cellStyle name="Normal 14 2 2 2 2 2" xfId="2762"/>
    <cellStyle name="Normal 14 2 2 2 2 2 2" xfId="5572"/>
    <cellStyle name="Normal 14 2 2 2 2 2 2 2" xfId="11208"/>
    <cellStyle name="Normal 14 2 2 2 2 2 3" xfId="8398"/>
    <cellStyle name="Normal 14 2 2 2 2 3" xfId="4171"/>
    <cellStyle name="Normal 14 2 2 2 2 3 2" xfId="9807"/>
    <cellStyle name="Normal 14 2 2 2 2 4" xfId="6997"/>
    <cellStyle name="Normal 14 2 2 2 3" xfId="2066"/>
    <cellStyle name="Normal 14 2 2 2 3 2" xfId="4876"/>
    <cellStyle name="Normal 14 2 2 2 3 2 2" xfId="10512"/>
    <cellStyle name="Normal 14 2 2 2 3 3" xfId="7702"/>
    <cellStyle name="Normal 14 2 2 2 4" xfId="3475"/>
    <cellStyle name="Normal 14 2 2 2 4 2" xfId="9111"/>
    <cellStyle name="Normal 14 2 2 2 5" xfId="6301"/>
    <cellStyle name="Normal 14 2 2 3" xfId="1017"/>
    <cellStyle name="Normal 14 2 2 3 2" xfId="2418"/>
    <cellStyle name="Normal 14 2 2 3 2 2" xfId="5228"/>
    <cellStyle name="Normal 14 2 2 3 2 2 2" xfId="10864"/>
    <cellStyle name="Normal 14 2 2 3 2 3" xfId="8054"/>
    <cellStyle name="Normal 14 2 2 3 3" xfId="3827"/>
    <cellStyle name="Normal 14 2 2 3 3 2" xfId="9463"/>
    <cellStyle name="Normal 14 2 2 3 4" xfId="6653"/>
    <cellStyle name="Normal 14 2 2 4" xfId="1722"/>
    <cellStyle name="Normal 14 2 2 4 2" xfId="4532"/>
    <cellStyle name="Normal 14 2 2 4 2 2" xfId="10168"/>
    <cellStyle name="Normal 14 2 2 4 3" xfId="7358"/>
    <cellStyle name="Normal 14 2 2 5" xfId="3131"/>
    <cellStyle name="Normal 14 2 2 5 2" xfId="8767"/>
    <cellStyle name="Normal 14 2 2 6" xfId="5957"/>
    <cellStyle name="Normal 14 2 3" xfId="493"/>
    <cellStyle name="Normal 14 2 3 2" xfId="1189"/>
    <cellStyle name="Normal 14 2 3 2 2" xfId="2590"/>
    <cellStyle name="Normal 14 2 3 2 2 2" xfId="5400"/>
    <cellStyle name="Normal 14 2 3 2 2 2 2" xfId="11036"/>
    <cellStyle name="Normal 14 2 3 2 2 3" xfId="8226"/>
    <cellStyle name="Normal 14 2 3 2 3" xfId="3999"/>
    <cellStyle name="Normal 14 2 3 2 3 2" xfId="9635"/>
    <cellStyle name="Normal 14 2 3 2 4" xfId="6825"/>
    <cellStyle name="Normal 14 2 3 3" xfId="1894"/>
    <cellStyle name="Normal 14 2 3 3 2" xfId="4704"/>
    <cellStyle name="Normal 14 2 3 3 2 2" xfId="10340"/>
    <cellStyle name="Normal 14 2 3 3 3" xfId="7530"/>
    <cellStyle name="Normal 14 2 3 4" xfId="3303"/>
    <cellStyle name="Normal 14 2 3 4 2" xfId="8939"/>
    <cellStyle name="Normal 14 2 3 5" xfId="6129"/>
    <cellStyle name="Normal 14 2 4" xfId="845"/>
    <cellStyle name="Normal 14 2 4 2" xfId="2246"/>
    <cellStyle name="Normal 14 2 4 2 2" xfId="5056"/>
    <cellStyle name="Normal 14 2 4 2 2 2" xfId="10692"/>
    <cellStyle name="Normal 14 2 4 2 3" xfId="7882"/>
    <cellStyle name="Normal 14 2 4 3" xfId="3655"/>
    <cellStyle name="Normal 14 2 4 3 2" xfId="9291"/>
    <cellStyle name="Normal 14 2 4 4" xfId="6481"/>
    <cellStyle name="Normal 14 2 5" xfId="1550"/>
    <cellStyle name="Normal 14 2 5 2" xfId="4360"/>
    <cellStyle name="Normal 14 2 5 2 2" xfId="9996"/>
    <cellStyle name="Normal 14 2 5 3" xfId="7186"/>
    <cellStyle name="Normal 14 2 6" xfId="2959"/>
    <cellStyle name="Normal 14 2 6 2" xfId="8595"/>
    <cellStyle name="Normal 14 2 7" xfId="5785"/>
    <cellStyle name="Normal 14 3" xfId="241"/>
    <cellStyle name="Normal 14 3 2" xfId="585"/>
    <cellStyle name="Normal 14 3 2 2" xfId="1281"/>
    <cellStyle name="Normal 14 3 2 2 2" xfId="2682"/>
    <cellStyle name="Normal 14 3 2 2 2 2" xfId="5492"/>
    <cellStyle name="Normal 14 3 2 2 2 2 2" xfId="11128"/>
    <cellStyle name="Normal 14 3 2 2 2 3" xfId="8318"/>
    <cellStyle name="Normal 14 3 2 2 3" xfId="4091"/>
    <cellStyle name="Normal 14 3 2 2 3 2" xfId="9727"/>
    <cellStyle name="Normal 14 3 2 2 4" xfId="6917"/>
    <cellStyle name="Normal 14 3 2 3" xfId="1986"/>
    <cellStyle name="Normal 14 3 2 3 2" xfId="4796"/>
    <cellStyle name="Normal 14 3 2 3 2 2" xfId="10432"/>
    <cellStyle name="Normal 14 3 2 3 3" xfId="7622"/>
    <cellStyle name="Normal 14 3 2 4" xfId="3395"/>
    <cellStyle name="Normal 14 3 2 4 2" xfId="9031"/>
    <cellStyle name="Normal 14 3 2 5" xfId="6221"/>
    <cellStyle name="Normal 14 3 3" xfId="937"/>
    <cellStyle name="Normal 14 3 3 2" xfId="2338"/>
    <cellStyle name="Normal 14 3 3 2 2" xfId="5148"/>
    <cellStyle name="Normal 14 3 3 2 2 2" xfId="10784"/>
    <cellStyle name="Normal 14 3 3 2 3" xfId="7974"/>
    <cellStyle name="Normal 14 3 3 3" xfId="3747"/>
    <cellStyle name="Normal 14 3 3 3 2" xfId="9383"/>
    <cellStyle name="Normal 14 3 3 4" xfId="6573"/>
    <cellStyle name="Normal 14 3 4" xfId="1642"/>
    <cellStyle name="Normal 14 3 4 2" xfId="4452"/>
    <cellStyle name="Normal 14 3 4 2 2" xfId="10088"/>
    <cellStyle name="Normal 14 3 4 3" xfId="7278"/>
    <cellStyle name="Normal 14 3 5" xfId="3051"/>
    <cellStyle name="Normal 14 3 5 2" xfId="8687"/>
    <cellStyle name="Normal 14 3 6" xfId="5877"/>
    <cellStyle name="Normal 14 4" xfId="413"/>
    <cellStyle name="Normal 14 4 2" xfId="1109"/>
    <cellStyle name="Normal 14 4 2 2" xfId="2510"/>
    <cellStyle name="Normal 14 4 2 2 2" xfId="5320"/>
    <cellStyle name="Normal 14 4 2 2 2 2" xfId="10956"/>
    <cellStyle name="Normal 14 4 2 2 3" xfId="8146"/>
    <cellStyle name="Normal 14 4 2 3" xfId="3919"/>
    <cellStyle name="Normal 14 4 2 3 2" xfId="9555"/>
    <cellStyle name="Normal 14 4 2 4" xfId="6745"/>
    <cellStyle name="Normal 14 4 3" xfId="1814"/>
    <cellStyle name="Normal 14 4 3 2" xfId="4624"/>
    <cellStyle name="Normal 14 4 3 2 2" xfId="10260"/>
    <cellStyle name="Normal 14 4 3 3" xfId="7450"/>
    <cellStyle name="Normal 14 4 4" xfId="3223"/>
    <cellStyle name="Normal 14 4 4 2" xfId="8859"/>
    <cellStyle name="Normal 14 4 5" xfId="6049"/>
    <cellStyle name="Normal 14 5" xfId="765"/>
    <cellStyle name="Normal 14 5 2" xfId="2166"/>
    <cellStyle name="Normal 14 5 2 2" xfId="4976"/>
    <cellStyle name="Normal 14 5 2 2 2" xfId="10612"/>
    <cellStyle name="Normal 14 5 2 3" xfId="7802"/>
    <cellStyle name="Normal 14 5 3" xfId="3575"/>
    <cellStyle name="Normal 14 5 3 2" xfId="9211"/>
    <cellStyle name="Normal 14 5 4" xfId="6401"/>
    <cellStyle name="Normal 14 6" xfId="1470"/>
    <cellStyle name="Normal 14 6 2" xfId="4280"/>
    <cellStyle name="Normal 14 6 2 2" xfId="9916"/>
    <cellStyle name="Normal 14 6 3" xfId="7106"/>
    <cellStyle name="Normal 14 7" xfId="2879"/>
    <cellStyle name="Normal 14 7 2" xfId="8515"/>
    <cellStyle name="Normal 14 8" xfId="5705"/>
    <cellStyle name="Normal 15" xfId="71"/>
    <cellStyle name="Normal 15 2" xfId="151"/>
    <cellStyle name="Normal 15 2 2" xfId="323"/>
    <cellStyle name="Normal 15 2 2 2" xfId="667"/>
    <cellStyle name="Normal 15 2 2 2 2" xfId="1363"/>
    <cellStyle name="Normal 15 2 2 2 2 2" xfId="2764"/>
    <cellStyle name="Normal 15 2 2 2 2 2 2" xfId="5574"/>
    <cellStyle name="Normal 15 2 2 2 2 2 2 2" xfId="11210"/>
    <cellStyle name="Normal 15 2 2 2 2 2 3" xfId="8400"/>
    <cellStyle name="Normal 15 2 2 2 2 3" xfId="4173"/>
    <cellStyle name="Normal 15 2 2 2 2 3 2" xfId="9809"/>
    <cellStyle name="Normal 15 2 2 2 2 4" xfId="6999"/>
    <cellStyle name="Normal 15 2 2 2 3" xfId="2068"/>
    <cellStyle name="Normal 15 2 2 2 3 2" xfId="4878"/>
    <cellStyle name="Normal 15 2 2 2 3 2 2" xfId="10514"/>
    <cellStyle name="Normal 15 2 2 2 3 3" xfId="7704"/>
    <cellStyle name="Normal 15 2 2 2 4" xfId="3477"/>
    <cellStyle name="Normal 15 2 2 2 4 2" xfId="9113"/>
    <cellStyle name="Normal 15 2 2 2 5" xfId="6303"/>
    <cellStyle name="Normal 15 2 2 3" xfId="1019"/>
    <cellStyle name="Normal 15 2 2 3 2" xfId="2420"/>
    <cellStyle name="Normal 15 2 2 3 2 2" xfId="5230"/>
    <cellStyle name="Normal 15 2 2 3 2 2 2" xfId="10866"/>
    <cellStyle name="Normal 15 2 2 3 2 3" xfId="8056"/>
    <cellStyle name="Normal 15 2 2 3 3" xfId="3829"/>
    <cellStyle name="Normal 15 2 2 3 3 2" xfId="9465"/>
    <cellStyle name="Normal 15 2 2 3 4" xfId="6655"/>
    <cellStyle name="Normal 15 2 2 4" xfId="1724"/>
    <cellStyle name="Normal 15 2 2 4 2" xfId="4534"/>
    <cellStyle name="Normal 15 2 2 4 2 2" xfId="10170"/>
    <cellStyle name="Normal 15 2 2 4 3" xfId="7360"/>
    <cellStyle name="Normal 15 2 2 5" xfId="3133"/>
    <cellStyle name="Normal 15 2 2 5 2" xfId="8769"/>
    <cellStyle name="Normal 15 2 2 6" xfId="5959"/>
    <cellStyle name="Normal 15 2 3" xfId="495"/>
    <cellStyle name="Normal 15 2 3 2" xfId="1191"/>
    <cellStyle name="Normal 15 2 3 2 2" xfId="2592"/>
    <cellStyle name="Normal 15 2 3 2 2 2" xfId="5402"/>
    <cellStyle name="Normal 15 2 3 2 2 2 2" xfId="11038"/>
    <cellStyle name="Normal 15 2 3 2 2 3" xfId="8228"/>
    <cellStyle name="Normal 15 2 3 2 3" xfId="4001"/>
    <cellStyle name="Normal 15 2 3 2 3 2" xfId="9637"/>
    <cellStyle name="Normal 15 2 3 2 4" xfId="6827"/>
    <cellStyle name="Normal 15 2 3 3" xfId="1896"/>
    <cellStyle name="Normal 15 2 3 3 2" xfId="4706"/>
    <cellStyle name="Normal 15 2 3 3 2 2" xfId="10342"/>
    <cellStyle name="Normal 15 2 3 3 3" xfId="7532"/>
    <cellStyle name="Normal 15 2 3 4" xfId="3305"/>
    <cellStyle name="Normal 15 2 3 4 2" xfId="8941"/>
    <cellStyle name="Normal 15 2 3 5" xfId="6131"/>
    <cellStyle name="Normal 15 2 4" xfId="847"/>
    <cellStyle name="Normal 15 2 4 2" xfId="2248"/>
    <cellStyle name="Normal 15 2 4 2 2" xfId="5058"/>
    <cellStyle name="Normal 15 2 4 2 2 2" xfId="10694"/>
    <cellStyle name="Normal 15 2 4 2 3" xfId="7884"/>
    <cellStyle name="Normal 15 2 4 3" xfId="3657"/>
    <cellStyle name="Normal 15 2 4 3 2" xfId="9293"/>
    <cellStyle name="Normal 15 2 4 4" xfId="6483"/>
    <cellStyle name="Normal 15 2 5" xfId="1552"/>
    <cellStyle name="Normal 15 2 5 2" xfId="4362"/>
    <cellStyle name="Normal 15 2 5 2 2" xfId="9998"/>
    <cellStyle name="Normal 15 2 5 3" xfId="7188"/>
    <cellStyle name="Normal 15 2 6" xfId="2961"/>
    <cellStyle name="Normal 15 2 6 2" xfId="8597"/>
    <cellStyle name="Normal 15 2 7" xfId="5787"/>
    <cellStyle name="Normal 15 3" xfId="243"/>
    <cellStyle name="Normal 15 3 2" xfId="587"/>
    <cellStyle name="Normal 15 3 2 2" xfId="1283"/>
    <cellStyle name="Normal 15 3 2 2 2" xfId="2684"/>
    <cellStyle name="Normal 15 3 2 2 2 2" xfId="5494"/>
    <cellStyle name="Normal 15 3 2 2 2 2 2" xfId="11130"/>
    <cellStyle name="Normal 15 3 2 2 2 3" xfId="8320"/>
    <cellStyle name="Normal 15 3 2 2 3" xfId="4093"/>
    <cellStyle name="Normal 15 3 2 2 3 2" xfId="9729"/>
    <cellStyle name="Normal 15 3 2 2 4" xfId="6919"/>
    <cellStyle name="Normal 15 3 2 3" xfId="1988"/>
    <cellStyle name="Normal 15 3 2 3 2" xfId="4798"/>
    <cellStyle name="Normal 15 3 2 3 2 2" xfId="10434"/>
    <cellStyle name="Normal 15 3 2 3 3" xfId="7624"/>
    <cellStyle name="Normal 15 3 2 4" xfId="3397"/>
    <cellStyle name="Normal 15 3 2 4 2" xfId="9033"/>
    <cellStyle name="Normal 15 3 2 5" xfId="6223"/>
    <cellStyle name="Normal 15 3 3" xfId="939"/>
    <cellStyle name="Normal 15 3 3 2" xfId="2340"/>
    <cellStyle name="Normal 15 3 3 2 2" xfId="5150"/>
    <cellStyle name="Normal 15 3 3 2 2 2" xfId="10786"/>
    <cellStyle name="Normal 15 3 3 2 3" xfId="7976"/>
    <cellStyle name="Normal 15 3 3 3" xfId="3749"/>
    <cellStyle name="Normal 15 3 3 3 2" xfId="9385"/>
    <cellStyle name="Normal 15 3 3 4" xfId="6575"/>
    <cellStyle name="Normal 15 3 4" xfId="1644"/>
    <cellStyle name="Normal 15 3 4 2" xfId="4454"/>
    <cellStyle name="Normal 15 3 4 2 2" xfId="10090"/>
    <cellStyle name="Normal 15 3 4 3" xfId="7280"/>
    <cellStyle name="Normal 15 3 5" xfId="3053"/>
    <cellStyle name="Normal 15 3 5 2" xfId="8689"/>
    <cellStyle name="Normal 15 3 6" xfId="5879"/>
    <cellStyle name="Normal 15 4" xfId="415"/>
    <cellStyle name="Normal 15 4 2" xfId="1111"/>
    <cellStyle name="Normal 15 4 2 2" xfId="2512"/>
    <cellStyle name="Normal 15 4 2 2 2" xfId="5322"/>
    <cellStyle name="Normal 15 4 2 2 2 2" xfId="10958"/>
    <cellStyle name="Normal 15 4 2 2 3" xfId="8148"/>
    <cellStyle name="Normal 15 4 2 3" xfId="3921"/>
    <cellStyle name="Normal 15 4 2 3 2" xfId="9557"/>
    <cellStyle name="Normal 15 4 2 4" xfId="6747"/>
    <cellStyle name="Normal 15 4 3" xfId="1816"/>
    <cellStyle name="Normal 15 4 3 2" xfId="4626"/>
    <cellStyle name="Normal 15 4 3 2 2" xfId="10262"/>
    <cellStyle name="Normal 15 4 3 3" xfId="7452"/>
    <cellStyle name="Normal 15 4 4" xfId="3225"/>
    <cellStyle name="Normal 15 4 4 2" xfId="8861"/>
    <cellStyle name="Normal 15 4 5" xfId="6051"/>
    <cellStyle name="Normal 15 5" xfId="767"/>
    <cellStyle name="Normal 15 5 2" xfId="2168"/>
    <cellStyle name="Normal 15 5 2 2" xfId="4978"/>
    <cellStyle name="Normal 15 5 2 2 2" xfId="10614"/>
    <cellStyle name="Normal 15 5 2 3" xfId="7804"/>
    <cellStyle name="Normal 15 5 3" xfId="3577"/>
    <cellStyle name="Normal 15 5 3 2" xfId="9213"/>
    <cellStyle name="Normal 15 5 4" xfId="6403"/>
    <cellStyle name="Normal 15 6" xfId="1472"/>
    <cellStyle name="Normal 15 6 2" xfId="4282"/>
    <cellStyle name="Normal 15 6 2 2" xfId="9918"/>
    <cellStyle name="Normal 15 6 3" xfId="7108"/>
    <cellStyle name="Normal 15 7" xfId="2881"/>
    <cellStyle name="Normal 15 7 2" xfId="8517"/>
    <cellStyle name="Normal 15 8" xfId="5707"/>
    <cellStyle name="Normal 16" xfId="73"/>
    <cellStyle name="Normal 16 2" xfId="153"/>
    <cellStyle name="Normal 16 2 2" xfId="325"/>
    <cellStyle name="Normal 16 2 2 2" xfId="669"/>
    <cellStyle name="Normal 16 2 2 2 2" xfId="1365"/>
    <cellStyle name="Normal 16 2 2 2 2 2" xfId="2766"/>
    <cellStyle name="Normal 16 2 2 2 2 2 2" xfId="5576"/>
    <cellStyle name="Normal 16 2 2 2 2 2 2 2" xfId="11212"/>
    <cellStyle name="Normal 16 2 2 2 2 2 3" xfId="8402"/>
    <cellStyle name="Normal 16 2 2 2 2 3" xfId="4175"/>
    <cellStyle name="Normal 16 2 2 2 2 3 2" xfId="9811"/>
    <cellStyle name="Normal 16 2 2 2 2 4" xfId="7001"/>
    <cellStyle name="Normal 16 2 2 2 3" xfId="2070"/>
    <cellStyle name="Normal 16 2 2 2 3 2" xfId="4880"/>
    <cellStyle name="Normal 16 2 2 2 3 2 2" xfId="10516"/>
    <cellStyle name="Normal 16 2 2 2 3 3" xfId="7706"/>
    <cellStyle name="Normal 16 2 2 2 4" xfId="3479"/>
    <cellStyle name="Normal 16 2 2 2 4 2" xfId="9115"/>
    <cellStyle name="Normal 16 2 2 2 5" xfId="6305"/>
    <cellStyle name="Normal 16 2 2 3" xfId="1021"/>
    <cellStyle name="Normal 16 2 2 3 2" xfId="2422"/>
    <cellStyle name="Normal 16 2 2 3 2 2" xfId="5232"/>
    <cellStyle name="Normal 16 2 2 3 2 2 2" xfId="10868"/>
    <cellStyle name="Normal 16 2 2 3 2 3" xfId="8058"/>
    <cellStyle name="Normal 16 2 2 3 3" xfId="3831"/>
    <cellStyle name="Normal 16 2 2 3 3 2" xfId="9467"/>
    <cellStyle name="Normal 16 2 2 3 4" xfId="6657"/>
    <cellStyle name="Normal 16 2 2 4" xfId="1726"/>
    <cellStyle name="Normal 16 2 2 4 2" xfId="4536"/>
    <cellStyle name="Normal 16 2 2 4 2 2" xfId="10172"/>
    <cellStyle name="Normal 16 2 2 4 3" xfId="7362"/>
    <cellStyle name="Normal 16 2 2 5" xfId="3135"/>
    <cellStyle name="Normal 16 2 2 5 2" xfId="8771"/>
    <cellStyle name="Normal 16 2 2 6" xfId="5961"/>
    <cellStyle name="Normal 16 2 3" xfId="497"/>
    <cellStyle name="Normal 16 2 3 2" xfId="1193"/>
    <cellStyle name="Normal 16 2 3 2 2" xfId="2594"/>
    <cellStyle name="Normal 16 2 3 2 2 2" xfId="5404"/>
    <cellStyle name="Normal 16 2 3 2 2 2 2" xfId="11040"/>
    <cellStyle name="Normal 16 2 3 2 2 3" xfId="8230"/>
    <cellStyle name="Normal 16 2 3 2 3" xfId="4003"/>
    <cellStyle name="Normal 16 2 3 2 3 2" xfId="9639"/>
    <cellStyle name="Normal 16 2 3 2 4" xfId="6829"/>
    <cellStyle name="Normal 16 2 3 3" xfId="1898"/>
    <cellStyle name="Normal 16 2 3 3 2" xfId="4708"/>
    <cellStyle name="Normal 16 2 3 3 2 2" xfId="10344"/>
    <cellStyle name="Normal 16 2 3 3 3" xfId="7534"/>
    <cellStyle name="Normal 16 2 3 4" xfId="3307"/>
    <cellStyle name="Normal 16 2 3 4 2" xfId="8943"/>
    <cellStyle name="Normal 16 2 3 5" xfId="6133"/>
    <cellStyle name="Normal 16 2 4" xfId="849"/>
    <cellStyle name="Normal 16 2 4 2" xfId="2250"/>
    <cellStyle name="Normal 16 2 4 2 2" xfId="5060"/>
    <cellStyle name="Normal 16 2 4 2 2 2" xfId="10696"/>
    <cellStyle name="Normal 16 2 4 2 3" xfId="7886"/>
    <cellStyle name="Normal 16 2 4 3" xfId="3659"/>
    <cellStyle name="Normal 16 2 4 3 2" xfId="9295"/>
    <cellStyle name="Normal 16 2 4 4" xfId="6485"/>
    <cellStyle name="Normal 16 2 5" xfId="1554"/>
    <cellStyle name="Normal 16 2 5 2" xfId="4364"/>
    <cellStyle name="Normal 16 2 5 2 2" xfId="10000"/>
    <cellStyle name="Normal 16 2 5 3" xfId="7190"/>
    <cellStyle name="Normal 16 2 6" xfId="2963"/>
    <cellStyle name="Normal 16 2 6 2" xfId="8599"/>
    <cellStyle name="Normal 16 2 7" xfId="5789"/>
    <cellStyle name="Normal 16 3" xfId="245"/>
    <cellStyle name="Normal 16 3 2" xfId="589"/>
    <cellStyle name="Normal 16 3 2 2" xfId="1285"/>
    <cellStyle name="Normal 16 3 2 2 2" xfId="2686"/>
    <cellStyle name="Normal 16 3 2 2 2 2" xfId="5496"/>
    <cellStyle name="Normal 16 3 2 2 2 2 2" xfId="11132"/>
    <cellStyle name="Normal 16 3 2 2 2 3" xfId="8322"/>
    <cellStyle name="Normal 16 3 2 2 3" xfId="4095"/>
    <cellStyle name="Normal 16 3 2 2 3 2" xfId="9731"/>
    <cellStyle name="Normal 16 3 2 2 4" xfId="6921"/>
    <cellStyle name="Normal 16 3 2 3" xfId="1990"/>
    <cellStyle name="Normal 16 3 2 3 2" xfId="4800"/>
    <cellStyle name="Normal 16 3 2 3 2 2" xfId="10436"/>
    <cellStyle name="Normal 16 3 2 3 3" xfId="7626"/>
    <cellStyle name="Normal 16 3 2 4" xfId="3399"/>
    <cellStyle name="Normal 16 3 2 4 2" xfId="9035"/>
    <cellStyle name="Normal 16 3 2 5" xfId="6225"/>
    <cellStyle name="Normal 16 3 3" xfId="941"/>
    <cellStyle name="Normal 16 3 3 2" xfId="2342"/>
    <cellStyle name="Normal 16 3 3 2 2" xfId="5152"/>
    <cellStyle name="Normal 16 3 3 2 2 2" xfId="10788"/>
    <cellStyle name="Normal 16 3 3 2 3" xfId="7978"/>
    <cellStyle name="Normal 16 3 3 3" xfId="3751"/>
    <cellStyle name="Normal 16 3 3 3 2" xfId="9387"/>
    <cellStyle name="Normal 16 3 3 4" xfId="6577"/>
    <cellStyle name="Normal 16 3 4" xfId="1646"/>
    <cellStyle name="Normal 16 3 4 2" xfId="4456"/>
    <cellStyle name="Normal 16 3 4 2 2" xfId="10092"/>
    <cellStyle name="Normal 16 3 4 3" xfId="7282"/>
    <cellStyle name="Normal 16 3 5" xfId="3055"/>
    <cellStyle name="Normal 16 3 5 2" xfId="8691"/>
    <cellStyle name="Normal 16 3 6" xfId="5881"/>
    <cellStyle name="Normal 16 4" xfId="417"/>
    <cellStyle name="Normal 16 4 2" xfId="1113"/>
    <cellStyle name="Normal 16 4 2 2" xfId="2514"/>
    <cellStyle name="Normal 16 4 2 2 2" xfId="5324"/>
    <cellStyle name="Normal 16 4 2 2 2 2" xfId="10960"/>
    <cellStyle name="Normal 16 4 2 2 3" xfId="8150"/>
    <cellStyle name="Normal 16 4 2 3" xfId="3923"/>
    <cellStyle name="Normal 16 4 2 3 2" xfId="9559"/>
    <cellStyle name="Normal 16 4 2 4" xfId="6749"/>
    <cellStyle name="Normal 16 4 3" xfId="1818"/>
    <cellStyle name="Normal 16 4 3 2" xfId="4628"/>
    <cellStyle name="Normal 16 4 3 2 2" xfId="10264"/>
    <cellStyle name="Normal 16 4 3 3" xfId="7454"/>
    <cellStyle name="Normal 16 4 4" xfId="3227"/>
    <cellStyle name="Normal 16 4 4 2" xfId="8863"/>
    <cellStyle name="Normal 16 4 5" xfId="6053"/>
    <cellStyle name="Normal 16 5" xfId="769"/>
    <cellStyle name="Normal 16 5 2" xfId="2170"/>
    <cellStyle name="Normal 16 5 2 2" xfId="4980"/>
    <cellStyle name="Normal 16 5 2 2 2" xfId="10616"/>
    <cellStyle name="Normal 16 5 2 3" xfId="7806"/>
    <cellStyle name="Normal 16 5 3" xfId="3579"/>
    <cellStyle name="Normal 16 5 3 2" xfId="9215"/>
    <cellStyle name="Normal 16 5 4" xfId="6405"/>
    <cellStyle name="Normal 16 6" xfId="1474"/>
    <cellStyle name="Normal 16 6 2" xfId="4284"/>
    <cellStyle name="Normal 16 6 2 2" xfId="9920"/>
    <cellStyle name="Normal 16 6 3" xfId="7110"/>
    <cellStyle name="Normal 16 7" xfId="2883"/>
    <cellStyle name="Normal 16 7 2" xfId="8519"/>
    <cellStyle name="Normal 16 8" xfId="5709"/>
    <cellStyle name="Normal 17" xfId="75"/>
    <cellStyle name="Normal 17 2" xfId="155"/>
    <cellStyle name="Normal 17 2 2" xfId="327"/>
    <cellStyle name="Normal 17 2 2 2" xfId="671"/>
    <cellStyle name="Normal 17 2 2 2 2" xfId="1367"/>
    <cellStyle name="Normal 17 2 2 2 2 2" xfId="2768"/>
    <cellStyle name="Normal 17 2 2 2 2 2 2" xfId="5578"/>
    <cellStyle name="Normal 17 2 2 2 2 2 2 2" xfId="11214"/>
    <cellStyle name="Normal 17 2 2 2 2 2 3" xfId="8404"/>
    <cellStyle name="Normal 17 2 2 2 2 3" xfId="4177"/>
    <cellStyle name="Normal 17 2 2 2 2 3 2" xfId="9813"/>
    <cellStyle name="Normal 17 2 2 2 2 4" xfId="7003"/>
    <cellStyle name="Normal 17 2 2 2 3" xfId="2072"/>
    <cellStyle name="Normal 17 2 2 2 3 2" xfId="4882"/>
    <cellStyle name="Normal 17 2 2 2 3 2 2" xfId="10518"/>
    <cellStyle name="Normal 17 2 2 2 3 3" xfId="7708"/>
    <cellStyle name="Normal 17 2 2 2 4" xfId="3481"/>
    <cellStyle name="Normal 17 2 2 2 4 2" xfId="9117"/>
    <cellStyle name="Normal 17 2 2 2 5" xfId="6307"/>
    <cellStyle name="Normal 17 2 2 3" xfId="1023"/>
    <cellStyle name="Normal 17 2 2 3 2" xfId="2424"/>
    <cellStyle name="Normal 17 2 2 3 2 2" xfId="5234"/>
    <cellStyle name="Normal 17 2 2 3 2 2 2" xfId="10870"/>
    <cellStyle name="Normal 17 2 2 3 2 3" xfId="8060"/>
    <cellStyle name="Normal 17 2 2 3 3" xfId="3833"/>
    <cellStyle name="Normal 17 2 2 3 3 2" xfId="9469"/>
    <cellStyle name="Normal 17 2 2 3 4" xfId="6659"/>
    <cellStyle name="Normal 17 2 2 4" xfId="1728"/>
    <cellStyle name="Normal 17 2 2 4 2" xfId="4538"/>
    <cellStyle name="Normal 17 2 2 4 2 2" xfId="10174"/>
    <cellStyle name="Normal 17 2 2 4 3" xfId="7364"/>
    <cellStyle name="Normal 17 2 2 5" xfId="3137"/>
    <cellStyle name="Normal 17 2 2 5 2" xfId="8773"/>
    <cellStyle name="Normal 17 2 2 6" xfId="5963"/>
    <cellStyle name="Normal 17 2 3" xfId="499"/>
    <cellStyle name="Normal 17 2 3 2" xfId="1195"/>
    <cellStyle name="Normal 17 2 3 2 2" xfId="2596"/>
    <cellStyle name="Normal 17 2 3 2 2 2" xfId="5406"/>
    <cellStyle name="Normal 17 2 3 2 2 2 2" xfId="11042"/>
    <cellStyle name="Normal 17 2 3 2 2 3" xfId="8232"/>
    <cellStyle name="Normal 17 2 3 2 3" xfId="4005"/>
    <cellStyle name="Normal 17 2 3 2 3 2" xfId="9641"/>
    <cellStyle name="Normal 17 2 3 2 4" xfId="6831"/>
    <cellStyle name="Normal 17 2 3 3" xfId="1900"/>
    <cellStyle name="Normal 17 2 3 3 2" xfId="4710"/>
    <cellStyle name="Normal 17 2 3 3 2 2" xfId="10346"/>
    <cellStyle name="Normal 17 2 3 3 3" xfId="7536"/>
    <cellStyle name="Normal 17 2 3 4" xfId="3309"/>
    <cellStyle name="Normal 17 2 3 4 2" xfId="8945"/>
    <cellStyle name="Normal 17 2 3 5" xfId="6135"/>
    <cellStyle name="Normal 17 2 4" xfId="851"/>
    <cellStyle name="Normal 17 2 4 2" xfId="2252"/>
    <cellStyle name="Normal 17 2 4 2 2" xfId="5062"/>
    <cellStyle name="Normal 17 2 4 2 2 2" xfId="10698"/>
    <cellStyle name="Normal 17 2 4 2 3" xfId="7888"/>
    <cellStyle name="Normal 17 2 4 3" xfId="3661"/>
    <cellStyle name="Normal 17 2 4 3 2" xfId="9297"/>
    <cellStyle name="Normal 17 2 4 4" xfId="6487"/>
    <cellStyle name="Normal 17 2 5" xfId="1556"/>
    <cellStyle name="Normal 17 2 5 2" xfId="4366"/>
    <cellStyle name="Normal 17 2 5 2 2" xfId="10002"/>
    <cellStyle name="Normal 17 2 5 3" xfId="7192"/>
    <cellStyle name="Normal 17 2 6" xfId="2965"/>
    <cellStyle name="Normal 17 2 6 2" xfId="8601"/>
    <cellStyle name="Normal 17 2 7" xfId="5791"/>
    <cellStyle name="Normal 17 3" xfId="247"/>
    <cellStyle name="Normal 17 3 2" xfId="591"/>
    <cellStyle name="Normal 17 3 2 2" xfId="1287"/>
    <cellStyle name="Normal 17 3 2 2 2" xfId="2688"/>
    <cellStyle name="Normal 17 3 2 2 2 2" xfId="5498"/>
    <cellStyle name="Normal 17 3 2 2 2 2 2" xfId="11134"/>
    <cellStyle name="Normal 17 3 2 2 2 3" xfId="8324"/>
    <cellStyle name="Normal 17 3 2 2 3" xfId="4097"/>
    <cellStyle name="Normal 17 3 2 2 3 2" xfId="9733"/>
    <cellStyle name="Normal 17 3 2 2 4" xfId="6923"/>
    <cellStyle name="Normal 17 3 2 3" xfId="1992"/>
    <cellStyle name="Normal 17 3 2 3 2" xfId="4802"/>
    <cellStyle name="Normal 17 3 2 3 2 2" xfId="10438"/>
    <cellStyle name="Normal 17 3 2 3 3" xfId="7628"/>
    <cellStyle name="Normal 17 3 2 4" xfId="3401"/>
    <cellStyle name="Normal 17 3 2 4 2" xfId="9037"/>
    <cellStyle name="Normal 17 3 2 5" xfId="6227"/>
    <cellStyle name="Normal 17 3 3" xfId="943"/>
    <cellStyle name="Normal 17 3 3 2" xfId="2344"/>
    <cellStyle name="Normal 17 3 3 2 2" xfId="5154"/>
    <cellStyle name="Normal 17 3 3 2 2 2" xfId="10790"/>
    <cellStyle name="Normal 17 3 3 2 3" xfId="7980"/>
    <cellStyle name="Normal 17 3 3 3" xfId="3753"/>
    <cellStyle name="Normal 17 3 3 3 2" xfId="9389"/>
    <cellStyle name="Normal 17 3 3 4" xfId="6579"/>
    <cellStyle name="Normal 17 3 4" xfId="1648"/>
    <cellStyle name="Normal 17 3 4 2" xfId="4458"/>
    <cellStyle name="Normal 17 3 4 2 2" xfId="10094"/>
    <cellStyle name="Normal 17 3 4 3" xfId="7284"/>
    <cellStyle name="Normal 17 3 5" xfId="3057"/>
    <cellStyle name="Normal 17 3 5 2" xfId="8693"/>
    <cellStyle name="Normal 17 3 6" xfId="5883"/>
    <cellStyle name="Normal 17 4" xfId="419"/>
    <cellStyle name="Normal 17 4 2" xfId="1115"/>
    <cellStyle name="Normal 17 4 2 2" xfId="2516"/>
    <cellStyle name="Normal 17 4 2 2 2" xfId="5326"/>
    <cellStyle name="Normal 17 4 2 2 2 2" xfId="10962"/>
    <cellStyle name="Normal 17 4 2 2 3" xfId="8152"/>
    <cellStyle name="Normal 17 4 2 3" xfId="3925"/>
    <cellStyle name="Normal 17 4 2 3 2" xfId="9561"/>
    <cellStyle name="Normal 17 4 2 4" xfId="6751"/>
    <cellStyle name="Normal 17 4 3" xfId="1820"/>
    <cellStyle name="Normal 17 4 3 2" xfId="4630"/>
    <cellStyle name="Normal 17 4 3 2 2" xfId="10266"/>
    <cellStyle name="Normal 17 4 3 3" xfId="7456"/>
    <cellStyle name="Normal 17 4 4" xfId="3229"/>
    <cellStyle name="Normal 17 4 4 2" xfId="8865"/>
    <cellStyle name="Normal 17 4 5" xfId="6055"/>
    <cellStyle name="Normal 17 5" xfId="771"/>
    <cellStyle name="Normal 17 5 2" xfId="2172"/>
    <cellStyle name="Normal 17 5 2 2" xfId="4982"/>
    <cellStyle name="Normal 17 5 2 2 2" xfId="10618"/>
    <cellStyle name="Normal 17 5 2 3" xfId="7808"/>
    <cellStyle name="Normal 17 5 3" xfId="3581"/>
    <cellStyle name="Normal 17 5 3 2" xfId="9217"/>
    <cellStyle name="Normal 17 5 4" xfId="6407"/>
    <cellStyle name="Normal 17 6" xfId="1476"/>
    <cellStyle name="Normal 17 6 2" xfId="4286"/>
    <cellStyle name="Normal 17 6 2 2" xfId="9922"/>
    <cellStyle name="Normal 17 6 3" xfId="7112"/>
    <cellStyle name="Normal 17 7" xfId="2885"/>
    <cellStyle name="Normal 17 7 2" xfId="8521"/>
    <cellStyle name="Normal 17 8" xfId="5711"/>
    <cellStyle name="Normal 18" xfId="77"/>
    <cellStyle name="Normal 18 2" xfId="157"/>
    <cellStyle name="Normal 18 2 2" xfId="329"/>
    <cellStyle name="Normal 18 2 2 2" xfId="673"/>
    <cellStyle name="Normal 18 2 2 2 2" xfId="1369"/>
    <cellStyle name="Normal 18 2 2 2 2 2" xfId="2770"/>
    <cellStyle name="Normal 18 2 2 2 2 2 2" xfId="5580"/>
    <cellStyle name="Normal 18 2 2 2 2 2 2 2" xfId="11216"/>
    <cellStyle name="Normal 18 2 2 2 2 2 3" xfId="8406"/>
    <cellStyle name="Normal 18 2 2 2 2 3" xfId="4179"/>
    <cellStyle name="Normal 18 2 2 2 2 3 2" xfId="9815"/>
    <cellStyle name="Normal 18 2 2 2 2 4" xfId="7005"/>
    <cellStyle name="Normal 18 2 2 2 3" xfId="2074"/>
    <cellStyle name="Normal 18 2 2 2 3 2" xfId="4884"/>
    <cellStyle name="Normal 18 2 2 2 3 2 2" xfId="10520"/>
    <cellStyle name="Normal 18 2 2 2 3 3" xfId="7710"/>
    <cellStyle name="Normal 18 2 2 2 4" xfId="3483"/>
    <cellStyle name="Normal 18 2 2 2 4 2" xfId="9119"/>
    <cellStyle name="Normal 18 2 2 2 5" xfId="6309"/>
    <cellStyle name="Normal 18 2 2 3" xfId="1025"/>
    <cellStyle name="Normal 18 2 2 3 2" xfId="2426"/>
    <cellStyle name="Normal 18 2 2 3 2 2" xfId="5236"/>
    <cellStyle name="Normal 18 2 2 3 2 2 2" xfId="10872"/>
    <cellStyle name="Normal 18 2 2 3 2 3" xfId="8062"/>
    <cellStyle name="Normal 18 2 2 3 3" xfId="3835"/>
    <cellStyle name="Normal 18 2 2 3 3 2" xfId="9471"/>
    <cellStyle name="Normal 18 2 2 3 4" xfId="6661"/>
    <cellStyle name="Normal 18 2 2 4" xfId="1730"/>
    <cellStyle name="Normal 18 2 2 4 2" xfId="4540"/>
    <cellStyle name="Normal 18 2 2 4 2 2" xfId="10176"/>
    <cellStyle name="Normal 18 2 2 4 3" xfId="7366"/>
    <cellStyle name="Normal 18 2 2 5" xfId="3139"/>
    <cellStyle name="Normal 18 2 2 5 2" xfId="8775"/>
    <cellStyle name="Normal 18 2 2 6" xfId="5965"/>
    <cellStyle name="Normal 18 2 3" xfId="501"/>
    <cellStyle name="Normal 18 2 3 2" xfId="1197"/>
    <cellStyle name="Normal 18 2 3 2 2" xfId="2598"/>
    <cellStyle name="Normal 18 2 3 2 2 2" xfId="5408"/>
    <cellStyle name="Normal 18 2 3 2 2 2 2" xfId="11044"/>
    <cellStyle name="Normal 18 2 3 2 2 3" xfId="8234"/>
    <cellStyle name="Normal 18 2 3 2 3" xfId="4007"/>
    <cellStyle name="Normal 18 2 3 2 3 2" xfId="9643"/>
    <cellStyle name="Normal 18 2 3 2 4" xfId="6833"/>
    <cellStyle name="Normal 18 2 3 3" xfId="1902"/>
    <cellStyle name="Normal 18 2 3 3 2" xfId="4712"/>
    <cellStyle name="Normal 18 2 3 3 2 2" xfId="10348"/>
    <cellStyle name="Normal 18 2 3 3 3" xfId="7538"/>
    <cellStyle name="Normal 18 2 3 4" xfId="3311"/>
    <cellStyle name="Normal 18 2 3 4 2" xfId="8947"/>
    <cellStyle name="Normal 18 2 3 5" xfId="6137"/>
    <cellStyle name="Normal 18 2 4" xfId="853"/>
    <cellStyle name="Normal 18 2 4 2" xfId="2254"/>
    <cellStyle name="Normal 18 2 4 2 2" xfId="5064"/>
    <cellStyle name="Normal 18 2 4 2 2 2" xfId="10700"/>
    <cellStyle name="Normal 18 2 4 2 3" xfId="7890"/>
    <cellStyle name="Normal 18 2 4 3" xfId="3663"/>
    <cellStyle name="Normal 18 2 4 3 2" xfId="9299"/>
    <cellStyle name="Normal 18 2 4 4" xfId="6489"/>
    <cellStyle name="Normal 18 2 5" xfId="1558"/>
    <cellStyle name="Normal 18 2 5 2" xfId="4368"/>
    <cellStyle name="Normal 18 2 5 2 2" xfId="10004"/>
    <cellStyle name="Normal 18 2 5 3" xfId="7194"/>
    <cellStyle name="Normal 18 2 6" xfId="2967"/>
    <cellStyle name="Normal 18 2 6 2" xfId="8603"/>
    <cellStyle name="Normal 18 2 7" xfId="5793"/>
    <cellStyle name="Normal 18 3" xfId="249"/>
    <cellStyle name="Normal 18 3 2" xfId="593"/>
    <cellStyle name="Normal 18 3 2 2" xfId="1289"/>
    <cellStyle name="Normal 18 3 2 2 2" xfId="2690"/>
    <cellStyle name="Normal 18 3 2 2 2 2" xfId="5500"/>
    <cellStyle name="Normal 18 3 2 2 2 2 2" xfId="11136"/>
    <cellStyle name="Normal 18 3 2 2 2 3" xfId="8326"/>
    <cellStyle name="Normal 18 3 2 2 3" xfId="4099"/>
    <cellStyle name="Normal 18 3 2 2 3 2" xfId="9735"/>
    <cellStyle name="Normal 18 3 2 2 4" xfId="6925"/>
    <cellStyle name="Normal 18 3 2 3" xfId="1994"/>
    <cellStyle name="Normal 18 3 2 3 2" xfId="4804"/>
    <cellStyle name="Normal 18 3 2 3 2 2" xfId="10440"/>
    <cellStyle name="Normal 18 3 2 3 3" xfId="7630"/>
    <cellStyle name="Normal 18 3 2 4" xfId="3403"/>
    <cellStyle name="Normal 18 3 2 4 2" xfId="9039"/>
    <cellStyle name="Normal 18 3 2 5" xfId="6229"/>
    <cellStyle name="Normal 18 3 3" xfId="945"/>
    <cellStyle name="Normal 18 3 3 2" xfId="2346"/>
    <cellStyle name="Normal 18 3 3 2 2" xfId="5156"/>
    <cellStyle name="Normal 18 3 3 2 2 2" xfId="10792"/>
    <cellStyle name="Normal 18 3 3 2 3" xfId="7982"/>
    <cellStyle name="Normal 18 3 3 3" xfId="3755"/>
    <cellStyle name="Normal 18 3 3 3 2" xfId="9391"/>
    <cellStyle name="Normal 18 3 3 4" xfId="6581"/>
    <cellStyle name="Normal 18 3 4" xfId="1650"/>
    <cellStyle name="Normal 18 3 4 2" xfId="4460"/>
    <cellStyle name="Normal 18 3 4 2 2" xfId="10096"/>
    <cellStyle name="Normal 18 3 4 3" xfId="7286"/>
    <cellStyle name="Normal 18 3 5" xfId="3059"/>
    <cellStyle name="Normal 18 3 5 2" xfId="8695"/>
    <cellStyle name="Normal 18 3 6" xfId="5885"/>
    <cellStyle name="Normal 18 4" xfId="421"/>
    <cellStyle name="Normal 18 4 2" xfId="1117"/>
    <cellStyle name="Normal 18 4 2 2" xfId="2518"/>
    <cellStyle name="Normal 18 4 2 2 2" xfId="5328"/>
    <cellStyle name="Normal 18 4 2 2 2 2" xfId="10964"/>
    <cellStyle name="Normal 18 4 2 2 3" xfId="8154"/>
    <cellStyle name="Normal 18 4 2 3" xfId="3927"/>
    <cellStyle name="Normal 18 4 2 3 2" xfId="9563"/>
    <cellStyle name="Normal 18 4 2 4" xfId="6753"/>
    <cellStyle name="Normal 18 4 3" xfId="1822"/>
    <cellStyle name="Normal 18 4 3 2" xfId="4632"/>
    <cellStyle name="Normal 18 4 3 2 2" xfId="10268"/>
    <cellStyle name="Normal 18 4 3 3" xfId="7458"/>
    <cellStyle name="Normal 18 4 4" xfId="3231"/>
    <cellStyle name="Normal 18 4 4 2" xfId="8867"/>
    <cellStyle name="Normal 18 4 5" xfId="6057"/>
    <cellStyle name="Normal 18 5" xfId="773"/>
    <cellStyle name="Normal 18 5 2" xfId="2174"/>
    <cellStyle name="Normal 18 5 2 2" xfId="4984"/>
    <cellStyle name="Normal 18 5 2 2 2" xfId="10620"/>
    <cellStyle name="Normal 18 5 2 3" xfId="7810"/>
    <cellStyle name="Normal 18 5 3" xfId="3583"/>
    <cellStyle name="Normal 18 5 3 2" xfId="9219"/>
    <cellStyle name="Normal 18 5 4" xfId="6409"/>
    <cellStyle name="Normal 18 6" xfId="1478"/>
    <cellStyle name="Normal 18 6 2" xfId="4288"/>
    <cellStyle name="Normal 18 6 2 2" xfId="9924"/>
    <cellStyle name="Normal 18 6 3" xfId="7114"/>
    <cellStyle name="Normal 18 7" xfId="2887"/>
    <cellStyle name="Normal 18 7 2" xfId="8523"/>
    <cellStyle name="Normal 18 8" xfId="5713"/>
    <cellStyle name="Normal 19" xfId="79"/>
    <cellStyle name="Normal 19 2" xfId="159"/>
    <cellStyle name="Normal 19 2 2" xfId="331"/>
    <cellStyle name="Normal 19 2 2 2" xfId="675"/>
    <cellStyle name="Normal 19 2 2 2 2" xfId="1371"/>
    <cellStyle name="Normal 19 2 2 2 2 2" xfId="2772"/>
    <cellStyle name="Normal 19 2 2 2 2 2 2" xfId="5582"/>
    <cellStyle name="Normal 19 2 2 2 2 2 2 2" xfId="11218"/>
    <cellStyle name="Normal 19 2 2 2 2 2 3" xfId="8408"/>
    <cellStyle name="Normal 19 2 2 2 2 3" xfId="4181"/>
    <cellStyle name="Normal 19 2 2 2 2 3 2" xfId="9817"/>
    <cellStyle name="Normal 19 2 2 2 2 4" xfId="7007"/>
    <cellStyle name="Normal 19 2 2 2 3" xfId="2076"/>
    <cellStyle name="Normal 19 2 2 2 3 2" xfId="4886"/>
    <cellStyle name="Normal 19 2 2 2 3 2 2" xfId="10522"/>
    <cellStyle name="Normal 19 2 2 2 3 3" xfId="7712"/>
    <cellStyle name="Normal 19 2 2 2 4" xfId="3485"/>
    <cellStyle name="Normal 19 2 2 2 4 2" xfId="9121"/>
    <cellStyle name="Normal 19 2 2 2 5" xfId="6311"/>
    <cellStyle name="Normal 19 2 2 3" xfId="1027"/>
    <cellStyle name="Normal 19 2 2 3 2" xfId="2428"/>
    <cellStyle name="Normal 19 2 2 3 2 2" xfId="5238"/>
    <cellStyle name="Normal 19 2 2 3 2 2 2" xfId="10874"/>
    <cellStyle name="Normal 19 2 2 3 2 3" xfId="8064"/>
    <cellStyle name="Normal 19 2 2 3 3" xfId="3837"/>
    <cellStyle name="Normal 19 2 2 3 3 2" xfId="9473"/>
    <cellStyle name="Normal 19 2 2 3 4" xfId="6663"/>
    <cellStyle name="Normal 19 2 2 4" xfId="1732"/>
    <cellStyle name="Normal 19 2 2 4 2" xfId="4542"/>
    <cellStyle name="Normal 19 2 2 4 2 2" xfId="10178"/>
    <cellStyle name="Normal 19 2 2 4 3" xfId="7368"/>
    <cellStyle name="Normal 19 2 2 5" xfId="3141"/>
    <cellStyle name="Normal 19 2 2 5 2" xfId="8777"/>
    <cellStyle name="Normal 19 2 2 6" xfId="5967"/>
    <cellStyle name="Normal 19 2 3" xfId="503"/>
    <cellStyle name="Normal 19 2 3 2" xfId="1199"/>
    <cellStyle name="Normal 19 2 3 2 2" xfId="2600"/>
    <cellStyle name="Normal 19 2 3 2 2 2" xfId="5410"/>
    <cellStyle name="Normal 19 2 3 2 2 2 2" xfId="11046"/>
    <cellStyle name="Normal 19 2 3 2 2 3" xfId="8236"/>
    <cellStyle name="Normal 19 2 3 2 3" xfId="4009"/>
    <cellStyle name="Normal 19 2 3 2 3 2" xfId="9645"/>
    <cellStyle name="Normal 19 2 3 2 4" xfId="6835"/>
    <cellStyle name="Normal 19 2 3 3" xfId="1904"/>
    <cellStyle name="Normal 19 2 3 3 2" xfId="4714"/>
    <cellStyle name="Normal 19 2 3 3 2 2" xfId="10350"/>
    <cellStyle name="Normal 19 2 3 3 3" xfId="7540"/>
    <cellStyle name="Normal 19 2 3 4" xfId="3313"/>
    <cellStyle name="Normal 19 2 3 4 2" xfId="8949"/>
    <cellStyle name="Normal 19 2 3 5" xfId="6139"/>
    <cellStyle name="Normal 19 2 4" xfId="855"/>
    <cellStyle name="Normal 19 2 4 2" xfId="2256"/>
    <cellStyle name="Normal 19 2 4 2 2" xfId="5066"/>
    <cellStyle name="Normal 19 2 4 2 2 2" xfId="10702"/>
    <cellStyle name="Normal 19 2 4 2 3" xfId="7892"/>
    <cellStyle name="Normal 19 2 4 3" xfId="3665"/>
    <cellStyle name="Normal 19 2 4 3 2" xfId="9301"/>
    <cellStyle name="Normal 19 2 4 4" xfId="6491"/>
    <cellStyle name="Normal 19 2 5" xfId="1560"/>
    <cellStyle name="Normal 19 2 5 2" xfId="4370"/>
    <cellStyle name="Normal 19 2 5 2 2" xfId="10006"/>
    <cellStyle name="Normal 19 2 5 3" xfId="7196"/>
    <cellStyle name="Normal 19 2 6" xfId="2969"/>
    <cellStyle name="Normal 19 2 6 2" xfId="8605"/>
    <cellStyle name="Normal 19 2 7" xfId="5795"/>
    <cellStyle name="Normal 19 3" xfId="251"/>
    <cellStyle name="Normal 19 3 2" xfId="595"/>
    <cellStyle name="Normal 19 3 2 2" xfId="1291"/>
    <cellStyle name="Normal 19 3 2 2 2" xfId="2692"/>
    <cellStyle name="Normal 19 3 2 2 2 2" xfId="5502"/>
    <cellStyle name="Normal 19 3 2 2 2 2 2" xfId="11138"/>
    <cellStyle name="Normal 19 3 2 2 2 3" xfId="8328"/>
    <cellStyle name="Normal 19 3 2 2 3" xfId="4101"/>
    <cellStyle name="Normal 19 3 2 2 3 2" xfId="9737"/>
    <cellStyle name="Normal 19 3 2 2 4" xfId="6927"/>
    <cellStyle name="Normal 19 3 2 3" xfId="1996"/>
    <cellStyle name="Normal 19 3 2 3 2" xfId="4806"/>
    <cellStyle name="Normal 19 3 2 3 2 2" xfId="10442"/>
    <cellStyle name="Normal 19 3 2 3 3" xfId="7632"/>
    <cellStyle name="Normal 19 3 2 4" xfId="3405"/>
    <cellStyle name="Normal 19 3 2 4 2" xfId="9041"/>
    <cellStyle name="Normal 19 3 2 5" xfId="6231"/>
    <cellStyle name="Normal 19 3 3" xfId="947"/>
    <cellStyle name="Normal 19 3 3 2" xfId="2348"/>
    <cellStyle name="Normal 19 3 3 2 2" xfId="5158"/>
    <cellStyle name="Normal 19 3 3 2 2 2" xfId="10794"/>
    <cellStyle name="Normal 19 3 3 2 3" xfId="7984"/>
    <cellStyle name="Normal 19 3 3 3" xfId="3757"/>
    <cellStyle name="Normal 19 3 3 3 2" xfId="9393"/>
    <cellStyle name="Normal 19 3 3 4" xfId="6583"/>
    <cellStyle name="Normal 19 3 4" xfId="1652"/>
    <cellStyle name="Normal 19 3 4 2" xfId="4462"/>
    <cellStyle name="Normal 19 3 4 2 2" xfId="10098"/>
    <cellStyle name="Normal 19 3 4 3" xfId="7288"/>
    <cellStyle name="Normal 19 3 5" xfId="3061"/>
    <cellStyle name="Normal 19 3 5 2" xfId="8697"/>
    <cellStyle name="Normal 19 3 6" xfId="5887"/>
    <cellStyle name="Normal 19 4" xfId="423"/>
    <cellStyle name="Normal 19 4 2" xfId="1119"/>
    <cellStyle name="Normal 19 4 2 2" xfId="2520"/>
    <cellStyle name="Normal 19 4 2 2 2" xfId="5330"/>
    <cellStyle name="Normal 19 4 2 2 2 2" xfId="10966"/>
    <cellStyle name="Normal 19 4 2 2 3" xfId="8156"/>
    <cellStyle name="Normal 19 4 2 3" xfId="3929"/>
    <cellStyle name="Normal 19 4 2 3 2" xfId="9565"/>
    <cellStyle name="Normal 19 4 2 4" xfId="6755"/>
    <cellStyle name="Normal 19 4 3" xfId="1824"/>
    <cellStyle name="Normal 19 4 3 2" xfId="4634"/>
    <cellStyle name="Normal 19 4 3 2 2" xfId="10270"/>
    <cellStyle name="Normal 19 4 3 3" xfId="7460"/>
    <cellStyle name="Normal 19 4 4" xfId="3233"/>
    <cellStyle name="Normal 19 4 4 2" xfId="8869"/>
    <cellStyle name="Normal 19 4 5" xfId="6059"/>
    <cellStyle name="Normal 19 5" xfId="775"/>
    <cellStyle name="Normal 19 5 2" xfId="2176"/>
    <cellStyle name="Normal 19 5 2 2" xfId="4986"/>
    <cellStyle name="Normal 19 5 2 2 2" xfId="10622"/>
    <cellStyle name="Normal 19 5 2 3" xfId="7812"/>
    <cellStyle name="Normal 19 5 3" xfId="3585"/>
    <cellStyle name="Normal 19 5 3 2" xfId="9221"/>
    <cellStyle name="Normal 19 5 4" xfId="6411"/>
    <cellStyle name="Normal 19 6" xfId="1480"/>
    <cellStyle name="Normal 19 6 2" xfId="4290"/>
    <cellStyle name="Normal 19 6 2 2" xfId="9926"/>
    <cellStyle name="Normal 19 6 3" xfId="7116"/>
    <cellStyle name="Normal 19 7" xfId="2889"/>
    <cellStyle name="Normal 19 7 2" xfId="8525"/>
    <cellStyle name="Normal 19 8" xfId="5715"/>
    <cellStyle name="Normal 2" xfId="4"/>
    <cellStyle name="Normal 2 10" xfId="5640"/>
    <cellStyle name="Normal 2 2" xfId="16"/>
    <cellStyle name="Normal 2 2 2" xfId="48"/>
    <cellStyle name="Normal 2 2 2 2" xfId="128"/>
    <cellStyle name="Normal 2 2 2 2 2" xfId="300"/>
    <cellStyle name="Normal 2 2 2 2 2 2" xfId="644"/>
    <cellStyle name="Normal 2 2 2 2 2 2 2" xfId="1340"/>
    <cellStyle name="Normal 2 2 2 2 2 2 2 2" xfId="2741"/>
    <cellStyle name="Normal 2 2 2 2 2 2 2 2 2" xfId="5551"/>
    <cellStyle name="Normal 2 2 2 2 2 2 2 2 2 2" xfId="11187"/>
    <cellStyle name="Normal 2 2 2 2 2 2 2 2 3" xfId="8377"/>
    <cellStyle name="Normal 2 2 2 2 2 2 2 3" xfId="4150"/>
    <cellStyle name="Normal 2 2 2 2 2 2 2 3 2" xfId="9786"/>
    <cellStyle name="Normal 2 2 2 2 2 2 2 4" xfId="6976"/>
    <cellStyle name="Normal 2 2 2 2 2 2 3" xfId="2045"/>
    <cellStyle name="Normal 2 2 2 2 2 2 3 2" xfId="4855"/>
    <cellStyle name="Normal 2 2 2 2 2 2 3 2 2" xfId="10491"/>
    <cellStyle name="Normal 2 2 2 2 2 2 3 3" xfId="7681"/>
    <cellStyle name="Normal 2 2 2 2 2 2 4" xfId="3454"/>
    <cellStyle name="Normal 2 2 2 2 2 2 4 2" xfId="9090"/>
    <cellStyle name="Normal 2 2 2 2 2 2 5" xfId="6280"/>
    <cellStyle name="Normal 2 2 2 2 2 3" xfId="996"/>
    <cellStyle name="Normal 2 2 2 2 2 3 2" xfId="2397"/>
    <cellStyle name="Normal 2 2 2 2 2 3 2 2" xfId="5207"/>
    <cellStyle name="Normal 2 2 2 2 2 3 2 2 2" xfId="10843"/>
    <cellStyle name="Normal 2 2 2 2 2 3 2 3" xfId="8033"/>
    <cellStyle name="Normal 2 2 2 2 2 3 3" xfId="3806"/>
    <cellStyle name="Normal 2 2 2 2 2 3 3 2" xfId="9442"/>
    <cellStyle name="Normal 2 2 2 2 2 3 4" xfId="6632"/>
    <cellStyle name="Normal 2 2 2 2 2 4" xfId="1701"/>
    <cellStyle name="Normal 2 2 2 2 2 4 2" xfId="4511"/>
    <cellStyle name="Normal 2 2 2 2 2 4 2 2" xfId="10147"/>
    <cellStyle name="Normal 2 2 2 2 2 4 3" xfId="7337"/>
    <cellStyle name="Normal 2 2 2 2 2 5" xfId="3110"/>
    <cellStyle name="Normal 2 2 2 2 2 5 2" xfId="8746"/>
    <cellStyle name="Normal 2 2 2 2 2 6" xfId="5936"/>
    <cellStyle name="Normal 2 2 2 2 3" xfId="472"/>
    <cellStyle name="Normal 2 2 2 2 3 2" xfId="1168"/>
    <cellStyle name="Normal 2 2 2 2 3 2 2" xfId="2569"/>
    <cellStyle name="Normal 2 2 2 2 3 2 2 2" xfId="5379"/>
    <cellStyle name="Normal 2 2 2 2 3 2 2 2 2" xfId="11015"/>
    <cellStyle name="Normal 2 2 2 2 3 2 2 3" xfId="8205"/>
    <cellStyle name="Normal 2 2 2 2 3 2 3" xfId="3978"/>
    <cellStyle name="Normal 2 2 2 2 3 2 3 2" xfId="9614"/>
    <cellStyle name="Normal 2 2 2 2 3 2 4" xfId="6804"/>
    <cellStyle name="Normal 2 2 2 2 3 3" xfId="1873"/>
    <cellStyle name="Normal 2 2 2 2 3 3 2" xfId="4683"/>
    <cellStyle name="Normal 2 2 2 2 3 3 2 2" xfId="10319"/>
    <cellStyle name="Normal 2 2 2 2 3 3 3" xfId="7509"/>
    <cellStyle name="Normal 2 2 2 2 3 4" xfId="3282"/>
    <cellStyle name="Normal 2 2 2 2 3 4 2" xfId="8918"/>
    <cellStyle name="Normal 2 2 2 2 3 5" xfId="6108"/>
    <cellStyle name="Normal 2 2 2 2 4" xfId="824"/>
    <cellStyle name="Normal 2 2 2 2 4 2" xfId="2225"/>
    <cellStyle name="Normal 2 2 2 2 4 2 2" xfId="5035"/>
    <cellStyle name="Normal 2 2 2 2 4 2 2 2" xfId="10671"/>
    <cellStyle name="Normal 2 2 2 2 4 2 3" xfId="7861"/>
    <cellStyle name="Normal 2 2 2 2 4 3" xfId="3634"/>
    <cellStyle name="Normal 2 2 2 2 4 3 2" xfId="9270"/>
    <cellStyle name="Normal 2 2 2 2 4 4" xfId="6460"/>
    <cellStyle name="Normal 2 2 2 2 5" xfId="1529"/>
    <cellStyle name="Normal 2 2 2 2 5 2" xfId="4339"/>
    <cellStyle name="Normal 2 2 2 2 5 2 2" xfId="9975"/>
    <cellStyle name="Normal 2 2 2 2 5 3" xfId="7165"/>
    <cellStyle name="Normal 2 2 2 2 6" xfId="2938"/>
    <cellStyle name="Normal 2 2 2 2 6 2" xfId="8574"/>
    <cellStyle name="Normal 2 2 2 2 7" xfId="5764"/>
    <cellStyle name="Normal 2 2 2 3" xfId="220"/>
    <cellStyle name="Normal 2 2 2 3 2" xfId="564"/>
    <cellStyle name="Normal 2 2 2 3 2 2" xfId="1260"/>
    <cellStyle name="Normal 2 2 2 3 2 2 2" xfId="2661"/>
    <cellStyle name="Normal 2 2 2 3 2 2 2 2" xfId="5471"/>
    <cellStyle name="Normal 2 2 2 3 2 2 2 2 2" xfId="11107"/>
    <cellStyle name="Normal 2 2 2 3 2 2 2 3" xfId="8297"/>
    <cellStyle name="Normal 2 2 2 3 2 2 3" xfId="4070"/>
    <cellStyle name="Normal 2 2 2 3 2 2 3 2" xfId="9706"/>
    <cellStyle name="Normal 2 2 2 3 2 2 4" xfId="6896"/>
    <cellStyle name="Normal 2 2 2 3 2 3" xfId="1965"/>
    <cellStyle name="Normal 2 2 2 3 2 3 2" xfId="4775"/>
    <cellStyle name="Normal 2 2 2 3 2 3 2 2" xfId="10411"/>
    <cellStyle name="Normal 2 2 2 3 2 3 3" xfId="7601"/>
    <cellStyle name="Normal 2 2 2 3 2 4" xfId="3374"/>
    <cellStyle name="Normal 2 2 2 3 2 4 2" xfId="9010"/>
    <cellStyle name="Normal 2 2 2 3 2 5" xfId="6200"/>
    <cellStyle name="Normal 2 2 2 3 3" xfId="916"/>
    <cellStyle name="Normal 2 2 2 3 3 2" xfId="2317"/>
    <cellStyle name="Normal 2 2 2 3 3 2 2" xfId="5127"/>
    <cellStyle name="Normal 2 2 2 3 3 2 2 2" xfId="10763"/>
    <cellStyle name="Normal 2 2 2 3 3 2 3" xfId="7953"/>
    <cellStyle name="Normal 2 2 2 3 3 3" xfId="3726"/>
    <cellStyle name="Normal 2 2 2 3 3 3 2" xfId="9362"/>
    <cellStyle name="Normal 2 2 2 3 3 4" xfId="6552"/>
    <cellStyle name="Normal 2 2 2 3 4" xfId="1621"/>
    <cellStyle name="Normal 2 2 2 3 4 2" xfId="4431"/>
    <cellStyle name="Normal 2 2 2 3 4 2 2" xfId="10067"/>
    <cellStyle name="Normal 2 2 2 3 4 3" xfId="7257"/>
    <cellStyle name="Normal 2 2 2 3 5" xfId="3030"/>
    <cellStyle name="Normal 2 2 2 3 5 2" xfId="8666"/>
    <cellStyle name="Normal 2 2 2 3 6" xfId="5856"/>
    <cellStyle name="Normal 2 2 2 4" xfId="392"/>
    <cellStyle name="Normal 2 2 2 4 2" xfId="1088"/>
    <cellStyle name="Normal 2 2 2 4 2 2" xfId="2489"/>
    <cellStyle name="Normal 2 2 2 4 2 2 2" xfId="5299"/>
    <cellStyle name="Normal 2 2 2 4 2 2 2 2" xfId="10935"/>
    <cellStyle name="Normal 2 2 2 4 2 2 3" xfId="8125"/>
    <cellStyle name="Normal 2 2 2 4 2 3" xfId="3898"/>
    <cellStyle name="Normal 2 2 2 4 2 3 2" xfId="9534"/>
    <cellStyle name="Normal 2 2 2 4 2 4" xfId="6724"/>
    <cellStyle name="Normal 2 2 2 4 3" xfId="1793"/>
    <cellStyle name="Normal 2 2 2 4 3 2" xfId="4603"/>
    <cellStyle name="Normal 2 2 2 4 3 2 2" xfId="10239"/>
    <cellStyle name="Normal 2 2 2 4 3 3" xfId="7429"/>
    <cellStyle name="Normal 2 2 2 4 4" xfId="3202"/>
    <cellStyle name="Normal 2 2 2 4 4 2" xfId="8838"/>
    <cellStyle name="Normal 2 2 2 4 5" xfId="6028"/>
    <cellStyle name="Normal 2 2 2 5" xfId="744"/>
    <cellStyle name="Normal 2 2 2 5 2" xfId="2145"/>
    <cellStyle name="Normal 2 2 2 5 2 2" xfId="4955"/>
    <cellStyle name="Normal 2 2 2 5 2 2 2" xfId="10591"/>
    <cellStyle name="Normal 2 2 2 5 2 3" xfId="7781"/>
    <cellStyle name="Normal 2 2 2 5 3" xfId="3554"/>
    <cellStyle name="Normal 2 2 2 5 3 2" xfId="9190"/>
    <cellStyle name="Normal 2 2 2 5 4" xfId="6380"/>
    <cellStyle name="Normal 2 2 2 6" xfId="1449"/>
    <cellStyle name="Normal 2 2 2 6 2" xfId="4259"/>
    <cellStyle name="Normal 2 2 2 6 2 2" xfId="9895"/>
    <cellStyle name="Normal 2 2 2 6 3" xfId="7085"/>
    <cellStyle name="Normal 2 2 2 7" xfId="2858"/>
    <cellStyle name="Normal 2 2 2 7 2" xfId="8494"/>
    <cellStyle name="Normal 2 2 2 8" xfId="5684"/>
    <cellStyle name="Normal 2 2 3" xfId="96"/>
    <cellStyle name="Normal 2 2 3 2" xfId="268"/>
    <cellStyle name="Normal 2 2 3 2 2" xfId="612"/>
    <cellStyle name="Normal 2 2 3 2 2 2" xfId="1308"/>
    <cellStyle name="Normal 2 2 3 2 2 2 2" xfId="2709"/>
    <cellStyle name="Normal 2 2 3 2 2 2 2 2" xfId="5519"/>
    <cellStyle name="Normal 2 2 3 2 2 2 2 2 2" xfId="11155"/>
    <cellStyle name="Normal 2 2 3 2 2 2 2 3" xfId="8345"/>
    <cellStyle name="Normal 2 2 3 2 2 2 3" xfId="4118"/>
    <cellStyle name="Normal 2 2 3 2 2 2 3 2" xfId="9754"/>
    <cellStyle name="Normal 2 2 3 2 2 2 4" xfId="6944"/>
    <cellStyle name="Normal 2 2 3 2 2 3" xfId="2013"/>
    <cellStyle name="Normal 2 2 3 2 2 3 2" xfId="4823"/>
    <cellStyle name="Normal 2 2 3 2 2 3 2 2" xfId="10459"/>
    <cellStyle name="Normal 2 2 3 2 2 3 3" xfId="7649"/>
    <cellStyle name="Normal 2 2 3 2 2 4" xfId="3422"/>
    <cellStyle name="Normal 2 2 3 2 2 4 2" xfId="9058"/>
    <cellStyle name="Normal 2 2 3 2 2 5" xfId="6248"/>
    <cellStyle name="Normal 2 2 3 2 3" xfId="964"/>
    <cellStyle name="Normal 2 2 3 2 3 2" xfId="2365"/>
    <cellStyle name="Normal 2 2 3 2 3 2 2" xfId="5175"/>
    <cellStyle name="Normal 2 2 3 2 3 2 2 2" xfId="10811"/>
    <cellStyle name="Normal 2 2 3 2 3 2 3" xfId="8001"/>
    <cellStyle name="Normal 2 2 3 2 3 3" xfId="3774"/>
    <cellStyle name="Normal 2 2 3 2 3 3 2" xfId="9410"/>
    <cellStyle name="Normal 2 2 3 2 3 4" xfId="6600"/>
    <cellStyle name="Normal 2 2 3 2 4" xfId="1669"/>
    <cellStyle name="Normal 2 2 3 2 4 2" xfId="4479"/>
    <cellStyle name="Normal 2 2 3 2 4 2 2" xfId="10115"/>
    <cellStyle name="Normal 2 2 3 2 4 3" xfId="7305"/>
    <cellStyle name="Normal 2 2 3 2 5" xfId="3078"/>
    <cellStyle name="Normal 2 2 3 2 5 2" xfId="8714"/>
    <cellStyle name="Normal 2 2 3 2 6" xfId="5904"/>
    <cellStyle name="Normal 2 2 3 3" xfId="440"/>
    <cellStyle name="Normal 2 2 3 3 2" xfId="1136"/>
    <cellStyle name="Normal 2 2 3 3 2 2" xfId="2537"/>
    <cellStyle name="Normal 2 2 3 3 2 2 2" xfId="5347"/>
    <cellStyle name="Normal 2 2 3 3 2 2 2 2" xfId="10983"/>
    <cellStyle name="Normal 2 2 3 3 2 2 3" xfId="8173"/>
    <cellStyle name="Normal 2 2 3 3 2 3" xfId="3946"/>
    <cellStyle name="Normal 2 2 3 3 2 3 2" xfId="9582"/>
    <cellStyle name="Normal 2 2 3 3 2 4" xfId="6772"/>
    <cellStyle name="Normal 2 2 3 3 3" xfId="1841"/>
    <cellStyle name="Normal 2 2 3 3 3 2" xfId="4651"/>
    <cellStyle name="Normal 2 2 3 3 3 2 2" xfId="10287"/>
    <cellStyle name="Normal 2 2 3 3 3 3" xfId="7477"/>
    <cellStyle name="Normal 2 2 3 3 4" xfId="3250"/>
    <cellStyle name="Normal 2 2 3 3 4 2" xfId="8886"/>
    <cellStyle name="Normal 2 2 3 3 5" xfId="6076"/>
    <cellStyle name="Normal 2 2 3 4" xfId="792"/>
    <cellStyle name="Normal 2 2 3 4 2" xfId="2193"/>
    <cellStyle name="Normal 2 2 3 4 2 2" xfId="5003"/>
    <cellStyle name="Normal 2 2 3 4 2 2 2" xfId="10639"/>
    <cellStyle name="Normal 2 2 3 4 2 3" xfId="7829"/>
    <cellStyle name="Normal 2 2 3 4 3" xfId="3602"/>
    <cellStyle name="Normal 2 2 3 4 3 2" xfId="9238"/>
    <cellStyle name="Normal 2 2 3 4 4" xfId="6428"/>
    <cellStyle name="Normal 2 2 3 5" xfId="1497"/>
    <cellStyle name="Normal 2 2 3 5 2" xfId="4307"/>
    <cellStyle name="Normal 2 2 3 5 2 2" xfId="9943"/>
    <cellStyle name="Normal 2 2 3 5 3" xfId="7133"/>
    <cellStyle name="Normal 2 2 3 6" xfId="2906"/>
    <cellStyle name="Normal 2 2 3 6 2" xfId="8542"/>
    <cellStyle name="Normal 2 2 3 7" xfId="5732"/>
    <cellStyle name="Normal 2 2 4" xfId="188"/>
    <cellStyle name="Normal 2 2 4 2" xfId="532"/>
    <cellStyle name="Normal 2 2 4 2 2" xfId="1228"/>
    <cellStyle name="Normal 2 2 4 2 2 2" xfId="2629"/>
    <cellStyle name="Normal 2 2 4 2 2 2 2" xfId="5439"/>
    <cellStyle name="Normal 2 2 4 2 2 2 2 2" xfId="11075"/>
    <cellStyle name="Normal 2 2 4 2 2 2 3" xfId="8265"/>
    <cellStyle name="Normal 2 2 4 2 2 3" xfId="4038"/>
    <cellStyle name="Normal 2 2 4 2 2 3 2" xfId="9674"/>
    <cellStyle name="Normal 2 2 4 2 2 4" xfId="6864"/>
    <cellStyle name="Normal 2 2 4 2 3" xfId="1933"/>
    <cellStyle name="Normal 2 2 4 2 3 2" xfId="4743"/>
    <cellStyle name="Normal 2 2 4 2 3 2 2" xfId="10379"/>
    <cellStyle name="Normal 2 2 4 2 3 3" xfId="7569"/>
    <cellStyle name="Normal 2 2 4 2 4" xfId="3342"/>
    <cellStyle name="Normal 2 2 4 2 4 2" xfId="8978"/>
    <cellStyle name="Normal 2 2 4 2 5" xfId="6168"/>
    <cellStyle name="Normal 2 2 4 3" xfId="884"/>
    <cellStyle name="Normal 2 2 4 3 2" xfId="2285"/>
    <cellStyle name="Normal 2 2 4 3 2 2" xfId="5095"/>
    <cellStyle name="Normal 2 2 4 3 2 2 2" xfId="10731"/>
    <cellStyle name="Normal 2 2 4 3 2 3" xfId="7921"/>
    <cellStyle name="Normal 2 2 4 3 3" xfId="3694"/>
    <cellStyle name="Normal 2 2 4 3 3 2" xfId="9330"/>
    <cellStyle name="Normal 2 2 4 3 4" xfId="6520"/>
    <cellStyle name="Normal 2 2 4 4" xfId="1589"/>
    <cellStyle name="Normal 2 2 4 4 2" xfId="4399"/>
    <cellStyle name="Normal 2 2 4 4 2 2" xfId="10035"/>
    <cellStyle name="Normal 2 2 4 4 3" xfId="7225"/>
    <cellStyle name="Normal 2 2 4 5" xfId="2998"/>
    <cellStyle name="Normal 2 2 4 5 2" xfId="8634"/>
    <cellStyle name="Normal 2 2 4 6" xfId="5824"/>
    <cellStyle name="Normal 2 2 5" xfId="360"/>
    <cellStyle name="Normal 2 2 5 2" xfId="1056"/>
    <cellStyle name="Normal 2 2 5 2 2" xfId="2457"/>
    <cellStyle name="Normal 2 2 5 2 2 2" xfId="5267"/>
    <cellStyle name="Normal 2 2 5 2 2 2 2" xfId="10903"/>
    <cellStyle name="Normal 2 2 5 2 2 3" xfId="8093"/>
    <cellStyle name="Normal 2 2 5 2 3" xfId="3866"/>
    <cellStyle name="Normal 2 2 5 2 3 2" xfId="9502"/>
    <cellStyle name="Normal 2 2 5 2 4" xfId="6692"/>
    <cellStyle name="Normal 2 2 5 3" xfId="1761"/>
    <cellStyle name="Normal 2 2 5 3 2" xfId="4571"/>
    <cellStyle name="Normal 2 2 5 3 2 2" xfId="10207"/>
    <cellStyle name="Normal 2 2 5 3 3" xfId="7397"/>
    <cellStyle name="Normal 2 2 5 4" xfId="3170"/>
    <cellStyle name="Normal 2 2 5 4 2" xfId="8806"/>
    <cellStyle name="Normal 2 2 5 5" xfId="5996"/>
    <cellStyle name="Normal 2 2 6" xfId="712"/>
    <cellStyle name="Normal 2 2 6 2" xfId="2113"/>
    <cellStyle name="Normal 2 2 6 2 2" xfId="4923"/>
    <cellStyle name="Normal 2 2 6 2 2 2" xfId="10559"/>
    <cellStyle name="Normal 2 2 6 2 3" xfId="7749"/>
    <cellStyle name="Normal 2 2 6 3" xfId="3522"/>
    <cellStyle name="Normal 2 2 6 3 2" xfId="9158"/>
    <cellStyle name="Normal 2 2 6 4" xfId="6348"/>
    <cellStyle name="Normal 2 2 7" xfId="1417"/>
    <cellStyle name="Normal 2 2 7 2" xfId="4227"/>
    <cellStyle name="Normal 2 2 7 2 2" xfId="9863"/>
    <cellStyle name="Normal 2 2 7 3" xfId="7053"/>
    <cellStyle name="Normal 2 2 8" xfId="2826"/>
    <cellStyle name="Normal 2 2 8 2" xfId="8462"/>
    <cellStyle name="Normal 2 2 9" xfId="5652"/>
    <cellStyle name="Normal 2 3" xfId="36"/>
    <cellStyle name="Normal 2 3 2" xfId="116"/>
    <cellStyle name="Normal 2 3 2 2" xfId="288"/>
    <cellStyle name="Normal 2 3 2 2 2" xfId="632"/>
    <cellStyle name="Normal 2 3 2 2 2 2" xfId="1328"/>
    <cellStyle name="Normal 2 3 2 2 2 2 2" xfId="2729"/>
    <cellStyle name="Normal 2 3 2 2 2 2 2 2" xfId="5539"/>
    <cellStyle name="Normal 2 3 2 2 2 2 2 2 2" xfId="11175"/>
    <cellStyle name="Normal 2 3 2 2 2 2 2 3" xfId="8365"/>
    <cellStyle name="Normal 2 3 2 2 2 2 3" xfId="4138"/>
    <cellStyle name="Normal 2 3 2 2 2 2 3 2" xfId="9774"/>
    <cellStyle name="Normal 2 3 2 2 2 2 4" xfId="6964"/>
    <cellStyle name="Normal 2 3 2 2 2 3" xfId="2033"/>
    <cellStyle name="Normal 2 3 2 2 2 3 2" xfId="4843"/>
    <cellStyle name="Normal 2 3 2 2 2 3 2 2" xfId="10479"/>
    <cellStyle name="Normal 2 3 2 2 2 3 3" xfId="7669"/>
    <cellStyle name="Normal 2 3 2 2 2 4" xfId="3442"/>
    <cellStyle name="Normal 2 3 2 2 2 4 2" xfId="9078"/>
    <cellStyle name="Normal 2 3 2 2 2 5" xfId="6268"/>
    <cellStyle name="Normal 2 3 2 2 3" xfId="984"/>
    <cellStyle name="Normal 2 3 2 2 3 2" xfId="2385"/>
    <cellStyle name="Normal 2 3 2 2 3 2 2" xfId="5195"/>
    <cellStyle name="Normal 2 3 2 2 3 2 2 2" xfId="10831"/>
    <cellStyle name="Normal 2 3 2 2 3 2 3" xfId="8021"/>
    <cellStyle name="Normal 2 3 2 2 3 3" xfId="3794"/>
    <cellStyle name="Normal 2 3 2 2 3 3 2" xfId="9430"/>
    <cellStyle name="Normal 2 3 2 2 3 4" xfId="6620"/>
    <cellStyle name="Normal 2 3 2 2 4" xfId="1689"/>
    <cellStyle name="Normal 2 3 2 2 4 2" xfId="4499"/>
    <cellStyle name="Normal 2 3 2 2 4 2 2" xfId="10135"/>
    <cellStyle name="Normal 2 3 2 2 4 3" xfId="7325"/>
    <cellStyle name="Normal 2 3 2 2 5" xfId="3098"/>
    <cellStyle name="Normal 2 3 2 2 5 2" xfId="8734"/>
    <cellStyle name="Normal 2 3 2 2 6" xfId="5924"/>
    <cellStyle name="Normal 2 3 2 3" xfId="460"/>
    <cellStyle name="Normal 2 3 2 3 2" xfId="1156"/>
    <cellStyle name="Normal 2 3 2 3 2 2" xfId="2557"/>
    <cellStyle name="Normal 2 3 2 3 2 2 2" xfId="5367"/>
    <cellStyle name="Normal 2 3 2 3 2 2 2 2" xfId="11003"/>
    <cellStyle name="Normal 2 3 2 3 2 2 3" xfId="8193"/>
    <cellStyle name="Normal 2 3 2 3 2 3" xfId="3966"/>
    <cellStyle name="Normal 2 3 2 3 2 3 2" xfId="9602"/>
    <cellStyle name="Normal 2 3 2 3 2 4" xfId="6792"/>
    <cellStyle name="Normal 2 3 2 3 3" xfId="1861"/>
    <cellStyle name="Normal 2 3 2 3 3 2" xfId="4671"/>
    <cellStyle name="Normal 2 3 2 3 3 2 2" xfId="10307"/>
    <cellStyle name="Normal 2 3 2 3 3 3" xfId="7497"/>
    <cellStyle name="Normal 2 3 2 3 4" xfId="3270"/>
    <cellStyle name="Normal 2 3 2 3 4 2" xfId="8906"/>
    <cellStyle name="Normal 2 3 2 3 5" xfId="6096"/>
    <cellStyle name="Normal 2 3 2 4" xfId="812"/>
    <cellStyle name="Normal 2 3 2 4 2" xfId="2213"/>
    <cellStyle name="Normal 2 3 2 4 2 2" xfId="5023"/>
    <cellStyle name="Normal 2 3 2 4 2 2 2" xfId="10659"/>
    <cellStyle name="Normal 2 3 2 4 2 3" xfId="7849"/>
    <cellStyle name="Normal 2 3 2 4 3" xfId="3622"/>
    <cellStyle name="Normal 2 3 2 4 3 2" xfId="9258"/>
    <cellStyle name="Normal 2 3 2 4 4" xfId="6448"/>
    <cellStyle name="Normal 2 3 2 5" xfId="1517"/>
    <cellStyle name="Normal 2 3 2 5 2" xfId="4327"/>
    <cellStyle name="Normal 2 3 2 5 2 2" xfId="9963"/>
    <cellStyle name="Normal 2 3 2 5 3" xfId="7153"/>
    <cellStyle name="Normal 2 3 2 6" xfId="2926"/>
    <cellStyle name="Normal 2 3 2 6 2" xfId="8562"/>
    <cellStyle name="Normal 2 3 2 7" xfId="5752"/>
    <cellStyle name="Normal 2 3 3" xfId="208"/>
    <cellStyle name="Normal 2 3 3 2" xfId="552"/>
    <cellStyle name="Normal 2 3 3 2 2" xfId="1248"/>
    <cellStyle name="Normal 2 3 3 2 2 2" xfId="2649"/>
    <cellStyle name="Normal 2 3 3 2 2 2 2" xfId="5459"/>
    <cellStyle name="Normal 2 3 3 2 2 2 2 2" xfId="11095"/>
    <cellStyle name="Normal 2 3 3 2 2 2 3" xfId="8285"/>
    <cellStyle name="Normal 2 3 3 2 2 3" xfId="4058"/>
    <cellStyle name="Normal 2 3 3 2 2 3 2" xfId="9694"/>
    <cellStyle name="Normal 2 3 3 2 2 4" xfId="6884"/>
    <cellStyle name="Normal 2 3 3 2 3" xfId="1953"/>
    <cellStyle name="Normal 2 3 3 2 3 2" xfId="4763"/>
    <cellStyle name="Normal 2 3 3 2 3 2 2" xfId="10399"/>
    <cellStyle name="Normal 2 3 3 2 3 3" xfId="7589"/>
    <cellStyle name="Normal 2 3 3 2 4" xfId="3362"/>
    <cellStyle name="Normal 2 3 3 2 4 2" xfId="8998"/>
    <cellStyle name="Normal 2 3 3 2 5" xfId="6188"/>
    <cellStyle name="Normal 2 3 3 3" xfId="904"/>
    <cellStyle name="Normal 2 3 3 3 2" xfId="2305"/>
    <cellStyle name="Normal 2 3 3 3 2 2" xfId="5115"/>
    <cellStyle name="Normal 2 3 3 3 2 2 2" xfId="10751"/>
    <cellStyle name="Normal 2 3 3 3 2 3" xfId="7941"/>
    <cellStyle name="Normal 2 3 3 3 3" xfId="3714"/>
    <cellStyle name="Normal 2 3 3 3 3 2" xfId="9350"/>
    <cellStyle name="Normal 2 3 3 3 4" xfId="6540"/>
    <cellStyle name="Normal 2 3 3 4" xfId="1609"/>
    <cellStyle name="Normal 2 3 3 4 2" xfId="4419"/>
    <cellStyle name="Normal 2 3 3 4 2 2" xfId="10055"/>
    <cellStyle name="Normal 2 3 3 4 3" xfId="7245"/>
    <cellStyle name="Normal 2 3 3 5" xfId="3018"/>
    <cellStyle name="Normal 2 3 3 5 2" xfId="8654"/>
    <cellStyle name="Normal 2 3 3 6" xfId="5844"/>
    <cellStyle name="Normal 2 3 4" xfId="380"/>
    <cellStyle name="Normal 2 3 4 2" xfId="1076"/>
    <cellStyle name="Normal 2 3 4 2 2" xfId="2477"/>
    <cellStyle name="Normal 2 3 4 2 2 2" xfId="5287"/>
    <cellStyle name="Normal 2 3 4 2 2 2 2" xfId="10923"/>
    <cellStyle name="Normal 2 3 4 2 2 3" xfId="8113"/>
    <cellStyle name="Normal 2 3 4 2 3" xfId="3886"/>
    <cellStyle name="Normal 2 3 4 2 3 2" xfId="9522"/>
    <cellStyle name="Normal 2 3 4 2 4" xfId="6712"/>
    <cellStyle name="Normal 2 3 4 3" xfId="1781"/>
    <cellStyle name="Normal 2 3 4 3 2" xfId="4591"/>
    <cellStyle name="Normal 2 3 4 3 2 2" xfId="10227"/>
    <cellStyle name="Normal 2 3 4 3 3" xfId="7417"/>
    <cellStyle name="Normal 2 3 4 4" xfId="3190"/>
    <cellStyle name="Normal 2 3 4 4 2" xfId="8826"/>
    <cellStyle name="Normal 2 3 4 5" xfId="6016"/>
    <cellStyle name="Normal 2 3 5" xfId="732"/>
    <cellStyle name="Normal 2 3 5 2" xfId="2133"/>
    <cellStyle name="Normal 2 3 5 2 2" xfId="4943"/>
    <cellStyle name="Normal 2 3 5 2 2 2" xfId="10579"/>
    <cellStyle name="Normal 2 3 5 2 3" xfId="7769"/>
    <cellStyle name="Normal 2 3 5 3" xfId="3542"/>
    <cellStyle name="Normal 2 3 5 3 2" xfId="9178"/>
    <cellStyle name="Normal 2 3 5 4" xfId="6368"/>
    <cellStyle name="Normal 2 3 6" xfId="1437"/>
    <cellStyle name="Normal 2 3 6 2" xfId="4247"/>
    <cellStyle name="Normal 2 3 6 2 2" xfId="9883"/>
    <cellStyle name="Normal 2 3 6 3" xfId="7073"/>
    <cellStyle name="Normal 2 3 7" xfId="2846"/>
    <cellStyle name="Normal 2 3 7 2" xfId="8482"/>
    <cellStyle name="Normal 2 3 8" xfId="5672"/>
    <cellStyle name="Normal 2 4" xfId="84"/>
    <cellStyle name="Normal 2 4 2" xfId="256"/>
    <cellStyle name="Normal 2 4 2 2" xfId="600"/>
    <cellStyle name="Normal 2 4 2 2 2" xfId="1296"/>
    <cellStyle name="Normal 2 4 2 2 2 2" xfId="2697"/>
    <cellStyle name="Normal 2 4 2 2 2 2 2" xfId="5507"/>
    <cellStyle name="Normal 2 4 2 2 2 2 2 2" xfId="11143"/>
    <cellStyle name="Normal 2 4 2 2 2 2 3" xfId="8333"/>
    <cellStyle name="Normal 2 4 2 2 2 3" xfId="4106"/>
    <cellStyle name="Normal 2 4 2 2 2 3 2" xfId="9742"/>
    <cellStyle name="Normal 2 4 2 2 2 4" xfId="6932"/>
    <cellStyle name="Normal 2 4 2 2 3" xfId="2001"/>
    <cellStyle name="Normal 2 4 2 2 3 2" xfId="4811"/>
    <cellStyle name="Normal 2 4 2 2 3 2 2" xfId="10447"/>
    <cellStyle name="Normal 2 4 2 2 3 3" xfId="7637"/>
    <cellStyle name="Normal 2 4 2 2 4" xfId="3410"/>
    <cellStyle name="Normal 2 4 2 2 4 2" xfId="9046"/>
    <cellStyle name="Normal 2 4 2 2 5" xfId="6236"/>
    <cellStyle name="Normal 2 4 2 3" xfId="952"/>
    <cellStyle name="Normal 2 4 2 3 2" xfId="2353"/>
    <cellStyle name="Normal 2 4 2 3 2 2" xfId="5163"/>
    <cellStyle name="Normal 2 4 2 3 2 2 2" xfId="10799"/>
    <cellStyle name="Normal 2 4 2 3 2 3" xfId="7989"/>
    <cellStyle name="Normal 2 4 2 3 3" xfId="3762"/>
    <cellStyle name="Normal 2 4 2 3 3 2" xfId="9398"/>
    <cellStyle name="Normal 2 4 2 3 4" xfId="6588"/>
    <cellStyle name="Normal 2 4 2 4" xfId="1657"/>
    <cellStyle name="Normal 2 4 2 4 2" xfId="4467"/>
    <cellStyle name="Normal 2 4 2 4 2 2" xfId="10103"/>
    <cellStyle name="Normal 2 4 2 4 3" xfId="7293"/>
    <cellStyle name="Normal 2 4 2 5" xfId="3066"/>
    <cellStyle name="Normal 2 4 2 5 2" xfId="8702"/>
    <cellStyle name="Normal 2 4 2 6" xfId="5892"/>
    <cellStyle name="Normal 2 4 3" xfId="428"/>
    <cellStyle name="Normal 2 4 3 2" xfId="1124"/>
    <cellStyle name="Normal 2 4 3 2 2" xfId="2525"/>
    <cellStyle name="Normal 2 4 3 2 2 2" xfId="5335"/>
    <cellStyle name="Normal 2 4 3 2 2 2 2" xfId="10971"/>
    <cellStyle name="Normal 2 4 3 2 2 3" xfId="8161"/>
    <cellStyle name="Normal 2 4 3 2 3" xfId="3934"/>
    <cellStyle name="Normal 2 4 3 2 3 2" xfId="9570"/>
    <cellStyle name="Normal 2 4 3 2 4" xfId="6760"/>
    <cellStyle name="Normal 2 4 3 3" xfId="1829"/>
    <cellStyle name="Normal 2 4 3 3 2" xfId="4639"/>
    <cellStyle name="Normal 2 4 3 3 2 2" xfId="10275"/>
    <cellStyle name="Normal 2 4 3 3 3" xfId="7465"/>
    <cellStyle name="Normal 2 4 3 4" xfId="3238"/>
    <cellStyle name="Normal 2 4 3 4 2" xfId="8874"/>
    <cellStyle name="Normal 2 4 3 5" xfId="6064"/>
    <cellStyle name="Normal 2 4 4" xfId="780"/>
    <cellStyle name="Normal 2 4 4 2" xfId="2181"/>
    <cellStyle name="Normal 2 4 4 2 2" xfId="4991"/>
    <cellStyle name="Normal 2 4 4 2 2 2" xfId="10627"/>
    <cellStyle name="Normal 2 4 4 2 3" xfId="7817"/>
    <cellStyle name="Normal 2 4 4 3" xfId="3590"/>
    <cellStyle name="Normal 2 4 4 3 2" xfId="9226"/>
    <cellStyle name="Normal 2 4 4 4" xfId="6416"/>
    <cellStyle name="Normal 2 4 5" xfId="1485"/>
    <cellStyle name="Normal 2 4 5 2" xfId="4295"/>
    <cellStyle name="Normal 2 4 5 2 2" xfId="9931"/>
    <cellStyle name="Normal 2 4 5 3" xfId="7121"/>
    <cellStyle name="Normal 2 4 6" xfId="2894"/>
    <cellStyle name="Normal 2 4 6 2" xfId="8530"/>
    <cellStyle name="Normal 2 4 7" xfId="5720"/>
    <cellStyle name="Normal 2 5" xfId="176"/>
    <cellStyle name="Normal 2 5 2" xfId="520"/>
    <cellStyle name="Normal 2 5 2 2" xfId="1216"/>
    <cellStyle name="Normal 2 5 2 2 2" xfId="2617"/>
    <cellStyle name="Normal 2 5 2 2 2 2" xfId="5427"/>
    <cellStyle name="Normal 2 5 2 2 2 2 2" xfId="11063"/>
    <cellStyle name="Normal 2 5 2 2 2 3" xfId="8253"/>
    <cellStyle name="Normal 2 5 2 2 3" xfId="4026"/>
    <cellStyle name="Normal 2 5 2 2 3 2" xfId="9662"/>
    <cellStyle name="Normal 2 5 2 2 4" xfId="6852"/>
    <cellStyle name="Normal 2 5 2 3" xfId="1921"/>
    <cellStyle name="Normal 2 5 2 3 2" xfId="4731"/>
    <cellStyle name="Normal 2 5 2 3 2 2" xfId="10367"/>
    <cellStyle name="Normal 2 5 2 3 3" xfId="7557"/>
    <cellStyle name="Normal 2 5 2 4" xfId="3330"/>
    <cellStyle name="Normal 2 5 2 4 2" xfId="8966"/>
    <cellStyle name="Normal 2 5 2 5" xfId="6156"/>
    <cellStyle name="Normal 2 5 3" xfId="872"/>
    <cellStyle name="Normal 2 5 3 2" xfId="2273"/>
    <cellStyle name="Normal 2 5 3 2 2" xfId="5083"/>
    <cellStyle name="Normal 2 5 3 2 2 2" xfId="10719"/>
    <cellStyle name="Normal 2 5 3 2 3" xfId="7909"/>
    <cellStyle name="Normal 2 5 3 3" xfId="3682"/>
    <cellStyle name="Normal 2 5 3 3 2" xfId="9318"/>
    <cellStyle name="Normal 2 5 3 4" xfId="6508"/>
    <cellStyle name="Normal 2 5 4" xfId="1577"/>
    <cellStyle name="Normal 2 5 4 2" xfId="4387"/>
    <cellStyle name="Normal 2 5 4 2 2" xfId="10023"/>
    <cellStyle name="Normal 2 5 4 3" xfId="7213"/>
    <cellStyle name="Normal 2 5 5" xfId="2986"/>
    <cellStyle name="Normal 2 5 5 2" xfId="8622"/>
    <cellStyle name="Normal 2 5 6" xfId="5812"/>
    <cellStyle name="Normal 2 6" xfId="348"/>
    <cellStyle name="Normal 2 6 2" xfId="1044"/>
    <cellStyle name="Normal 2 6 2 2" xfId="2445"/>
    <cellStyle name="Normal 2 6 2 2 2" xfId="5255"/>
    <cellStyle name="Normal 2 6 2 2 2 2" xfId="10891"/>
    <cellStyle name="Normal 2 6 2 2 3" xfId="8081"/>
    <cellStyle name="Normal 2 6 2 3" xfId="3854"/>
    <cellStyle name="Normal 2 6 2 3 2" xfId="9490"/>
    <cellStyle name="Normal 2 6 2 4" xfId="6680"/>
    <cellStyle name="Normal 2 6 3" xfId="1749"/>
    <cellStyle name="Normal 2 6 3 2" xfId="4559"/>
    <cellStyle name="Normal 2 6 3 2 2" xfId="10195"/>
    <cellStyle name="Normal 2 6 3 3" xfId="7385"/>
    <cellStyle name="Normal 2 6 4" xfId="3158"/>
    <cellStyle name="Normal 2 6 4 2" xfId="8794"/>
    <cellStyle name="Normal 2 6 5" xfId="5984"/>
    <cellStyle name="Normal 2 7" xfId="700"/>
    <cellStyle name="Normal 2 7 2" xfId="2101"/>
    <cellStyle name="Normal 2 7 2 2" xfId="4911"/>
    <cellStyle name="Normal 2 7 2 2 2" xfId="10547"/>
    <cellStyle name="Normal 2 7 2 3" xfId="7737"/>
    <cellStyle name="Normal 2 7 3" xfId="3510"/>
    <cellStyle name="Normal 2 7 3 2" xfId="9146"/>
    <cellStyle name="Normal 2 7 4" xfId="6336"/>
    <cellStyle name="Normal 2 8" xfId="1405"/>
    <cellStyle name="Normal 2 8 2" xfId="4215"/>
    <cellStyle name="Normal 2 8 2 2" xfId="9851"/>
    <cellStyle name="Normal 2 8 3" xfId="7041"/>
    <cellStyle name="Normal 2 9" xfId="2814"/>
    <cellStyle name="Normal 2 9 2" xfId="8450"/>
    <cellStyle name="Normal 20" xfId="81"/>
    <cellStyle name="Normal 20 2" xfId="253"/>
    <cellStyle name="Normal 20 2 2" xfId="597"/>
    <cellStyle name="Normal 20 2 2 2" xfId="1293"/>
    <cellStyle name="Normal 20 2 2 2 2" xfId="2694"/>
    <cellStyle name="Normal 20 2 2 2 2 2" xfId="5504"/>
    <cellStyle name="Normal 20 2 2 2 2 2 2" xfId="11140"/>
    <cellStyle name="Normal 20 2 2 2 2 3" xfId="8330"/>
    <cellStyle name="Normal 20 2 2 2 3" xfId="4103"/>
    <cellStyle name="Normal 20 2 2 2 3 2" xfId="9739"/>
    <cellStyle name="Normal 20 2 2 2 4" xfId="6929"/>
    <cellStyle name="Normal 20 2 2 3" xfId="1998"/>
    <cellStyle name="Normal 20 2 2 3 2" xfId="4808"/>
    <cellStyle name="Normal 20 2 2 3 2 2" xfId="10444"/>
    <cellStyle name="Normal 20 2 2 3 3" xfId="7634"/>
    <cellStyle name="Normal 20 2 2 4" xfId="3407"/>
    <cellStyle name="Normal 20 2 2 4 2" xfId="9043"/>
    <cellStyle name="Normal 20 2 2 5" xfId="6233"/>
    <cellStyle name="Normal 20 2 3" xfId="949"/>
    <cellStyle name="Normal 20 2 3 2" xfId="2350"/>
    <cellStyle name="Normal 20 2 3 2 2" xfId="5160"/>
    <cellStyle name="Normal 20 2 3 2 2 2" xfId="10796"/>
    <cellStyle name="Normal 20 2 3 2 3" xfId="7986"/>
    <cellStyle name="Normal 20 2 3 3" xfId="3759"/>
    <cellStyle name="Normal 20 2 3 3 2" xfId="9395"/>
    <cellStyle name="Normal 20 2 3 4" xfId="6585"/>
    <cellStyle name="Normal 20 2 4" xfId="1654"/>
    <cellStyle name="Normal 20 2 4 2" xfId="4464"/>
    <cellStyle name="Normal 20 2 4 2 2" xfId="10100"/>
    <cellStyle name="Normal 20 2 4 3" xfId="7290"/>
    <cellStyle name="Normal 20 2 5" xfId="3063"/>
    <cellStyle name="Normal 20 2 5 2" xfId="8699"/>
    <cellStyle name="Normal 20 2 6" xfId="5889"/>
    <cellStyle name="Normal 20 3" xfId="425"/>
    <cellStyle name="Normal 20 3 2" xfId="1121"/>
    <cellStyle name="Normal 20 3 2 2" xfId="2522"/>
    <cellStyle name="Normal 20 3 2 2 2" xfId="5332"/>
    <cellStyle name="Normal 20 3 2 2 2 2" xfId="10968"/>
    <cellStyle name="Normal 20 3 2 2 3" xfId="8158"/>
    <cellStyle name="Normal 20 3 2 3" xfId="3931"/>
    <cellStyle name="Normal 20 3 2 3 2" xfId="9567"/>
    <cellStyle name="Normal 20 3 2 4" xfId="6757"/>
    <cellStyle name="Normal 20 3 3" xfId="1826"/>
    <cellStyle name="Normal 20 3 3 2" xfId="4636"/>
    <cellStyle name="Normal 20 3 3 2 2" xfId="10272"/>
    <cellStyle name="Normal 20 3 3 3" xfId="7462"/>
    <cellStyle name="Normal 20 3 4" xfId="3235"/>
    <cellStyle name="Normal 20 3 4 2" xfId="8871"/>
    <cellStyle name="Normal 20 3 5" xfId="6061"/>
    <cellStyle name="Normal 20 4" xfId="777"/>
    <cellStyle name="Normal 20 4 2" xfId="2178"/>
    <cellStyle name="Normal 20 4 2 2" xfId="4988"/>
    <cellStyle name="Normal 20 4 2 2 2" xfId="10624"/>
    <cellStyle name="Normal 20 4 2 3" xfId="7814"/>
    <cellStyle name="Normal 20 4 3" xfId="3587"/>
    <cellStyle name="Normal 20 4 3 2" xfId="9223"/>
    <cellStyle name="Normal 20 4 4" xfId="6413"/>
    <cellStyle name="Normal 20 5" xfId="1482"/>
    <cellStyle name="Normal 20 5 2" xfId="4292"/>
    <cellStyle name="Normal 20 5 2 2" xfId="9928"/>
    <cellStyle name="Normal 20 5 3" xfId="7118"/>
    <cellStyle name="Normal 20 6" xfId="2891"/>
    <cellStyle name="Normal 20 6 2" xfId="8527"/>
    <cellStyle name="Normal 20 7" xfId="5717"/>
    <cellStyle name="Normal 21" xfId="162"/>
    <cellStyle name="Normal 21 2" xfId="334"/>
    <cellStyle name="Normal 21 2 2" xfId="678"/>
    <cellStyle name="Normal 21 2 2 2" xfId="1374"/>
    <cellStyle name="Normal 21 2 2 2 2" xfId="2775"/>
    <cellStyle name="Normal 21 2 2 2 2 2" xfId="5585"/>
    <cellStyle name="Normal 21 2 2 2 2 2 2" xfId="11221"/>
    <cellStyle name="Normal 21 2 2 2 2 3" xfId="8411"/>
    <cellStyle name="Normal 21 2 2 2 3" xfId="4184"/>
    <cellStyle name="Normal 21 2 2 2 3 2" xfId="9820"/>
    <cellStyle name="Normal 21 2 2 2 4" xfId="7010"/>
    <cellStyle name="Normal 21 2 2 3" xfId="2079"/>
    <cellStyle name="Normal 21 2 2 3 2" xfId="4889"/>
    <cellStyle name="Normal 21 2 2 3 2 2" xfId="10525"/>
    <cellStyle name="Normal 21 2 2 3 3" xfId="7715"/>
    <cellStyle name="Normal 21 2 2 4" xfId="3488"/>
    <cellStyle name="Normal 21 2 2 4 2" xfId="9124"/>
    <cellStyle name="Normal 21 2 2 5" xfId="6314"/>
    <cellStyle name="Normal 21 2 3" xfId="1030"/>
    <cellStyle name="Normal 21 2 3 2" xfId="2431"/>
    <cellStyle name="Normal 21 2 3 2 2" xfId="5241"/>
    <cellStyle name="Normal 21 2 3 2 2 2" xfId="10877"/>
    <cellStyle name="Normal 21 2 3 2 3" xfId="8067"/>
    <cellStyle name="Normal 21 2 3 3" xfId="3840"/>
    <cellStyle name="Normal 21 2 3 3 2" xfId="9476"/>
    <cellStyle name="Normal 21 2 3 4" xfId="6666"/>
    <cellStyle name="Normal 21 2 4" xfId="1735"/>
    <cellStyle name="Normal 21 2 4 2" xfId="4545"/>
    <cellStyle name="Normal 21 2 4 2 2" xfId="10181"/>
    <cellStyle name="Normal 21 2 4 3" xfId="7371"/>
    <cellStyle name="Normal 21 2 5" xfId="3144"/>
    <cellStyle name="Normal 21 2 5 2" xfId="8780"/>
    <cellStyle name="Normal 21 2 6" xfId="5970"/>
    <cellStyle name="Normal 21 3" xfId="506"/>
    <cellStyle name="Normal 21 3 2" xfId="1202"/>
    <cellStyle name="Normal 21 3 2 2" xfId="2603"/>
    <cellStyle name="Normal 21 3 2 2 2" xfId="5413"/>
    <cellStyle name="Normal 21 3 2 2 2 2" xfId="11049"/>
    <cellStyle name="Normal 21 3 2 2 3" xfId="8239"/>
    <cellStyle name="Normal 21 3 2 3" xfId="4012"/>
    <cellStyle name="Normal 21 3 2 3 2" xfId="9648"/>
    <cellStyle name="Normal 21 3 2 4" xfId="6838"/>
    <cellStyle name="Normal 21 3 3" xfId="1907"/>
    <cellStyle name="Normal 21 3 3 2" xfId="4717"/>
    <cellStyle name="Normal 21 3 3 2 2" xfId="10353"/>
    <cellStyle name="Normal 21 3 3 3" xfId="7543"/>
    <cellStyle name="Normal 21 3 4" xfId="3316"/>
    <cellStyle name="Normal 21 3 4 2" xfId="8952"/>
    <cellStyle name="Normal 21 3 5" xfId="6142"/>
    <cellStyle name="Normal 21 4" xfId="858"/>
    <cellStyle name="Normal 21 4 2" xfId="2259"/>
    <cellStyle name="Normal 21 4 2 2" xfId="5069"/>
    <cellStyle name="Normal 21 4 2 2 2" xfId="10705"/>
    <cellStyle name="Normal 21 4 2 3" xfId="7895"/>
    <cellStyle name="Normal 21 4 3" xfId="3668"/>
    <cellStyle name="Normal 21 4 3 2" xfId="9304"/>
    <cellStyle name="Normal 21 4 4" xfId="6494"/>
    <cellStyle name="Normal 21 5" xfId="1563"/>
    <cellStyle name="Normal 21 5 2" xfId="4373"/>
    <cellStyle name="Normal 21 5 2 2" xfId="10009"/>
    <cellStyle name="Normal 21 5 3" xfId="7199"/>
    <cellStyle name="Normal 21 6" xfId="2972"/>
    <cellStyle name="Normal 21 6 2" xfId="8608"/>
    <cellStyle name="Normal 21 7" xfId="5798"/>
    <cellStyle name="Normal 22" xfId="164"/>
    <cellStyle name="Normal 22 2" xfId="336"/>
    <cellStyle name="Normal 22 2 2" xfId="680"/>
    <cellStyle name="Normal 22 2 2 2" xfId="1376"/>
    <cellStyle name="Normal 22 2 2 2 2" xfId="2777"/>
    <cellStyle name="Normal 22 2 2 2 2 2" xfId="5587"/>
    <cellStyle name="Normal 22 2 2 2 2 2 2" xfId="11223"/>
    <cellStyle name="Normal 22 2 2 2 2 3" xfId="8413"/>
    <cellStyle name="Normal 22 2 2 2 3" xfId="4186"/>
    <cellStyle name="Normal 22 2 2 2 3 2" xfId="9822"/>
    <cellStyle name="Normal 22 2 2 2 4" xfId="7012"/>
    <cellStyle name="Normal 22 2 2 3" xfId="2081"/>
    <cellStyle name="Normal 22 2 2 3 2" xfId="4891"/>
    <cellStyle name="Normal 22 2 2 3 2 2" xfId="10527"/>
    <cellStyle name="Normal 22 2 2 3 3" xfId="7717"/>
    <cellStyle name="Normal 22 2 2 4" xfId="3490"/>
    <cellStyle name="Normal 22 2 2 4 2" xfId="9126"/>
    <cellStyle name="Normal 22 2 2 5" xfId="6316"/>
    <cellStyle name="Normal 22 2 3" xfId="1032"/>
    <cellStyle name="Normal 22 2 3 2" xfId="2433"/>
    <cellStyle name="Normal 22 2 3 2 2" xfId="5243"/>
    <cellStyle name="Normal 22 2 3 2 2 2" xfId="10879"/>
    <cellStyle name="Normal 22 2 3 2 3" xfId="8069"/>
    <cellStyle name="Normal 22 2 3 3" xfId="3842"/>
    <cellStyle name="Normal 22 2 3 3 2" xfId="9478"/>
    <cellStyle name="Normal 22 2 3 4" xfId="6668"/>
    <cellStyle name="Normal 22 2 4" xfId="1737"/>
    <cellStyle name="Normal 22 2 4 2" xfId="4547"/>
    <cellStyle name="Normal 22 2 4 2 2" xfId="10183"/>
    <cellStyle name="Normal 22 2 4 3" xfId="7373"/>
    <cellStyle name="Normal 22 2 5" xfId="3146"/>
    <cellStyle name="Normal 22 2 5 2" xfId="8782"/>
    <cellStyle name="Normal 22 2 6" xfId="5972"/>
    <cellStyle name="Normal 22 3" xfId="508"/>
    <cellStyle name="Normal 22 3 2" xfId="1204"/>
    <cellStyle name="Normal 22 3 2 2" xfId="2605"/>
    <cellStyle name="Normal 22 3 2 2 2" xfId="5415"/>
    <cellStyle name="Normal 22 3 2 2 2 2" xfId="11051"/>
    <cellStyle name="Normal 22 3 2 2 3" xfId="8241"/>
    <cellStyle name="Normal 22 3 2 3" xfId="4014"/>
    <cellStyle name="Normal 22 3 2 3 2" xfId="9650"/>
    <cellStyle name="Normal 22 3 2 4" xfId="6840"/>
    <cellStyle name="Normal 22 3 3" xfId="1909"/>
    <cellStyle name="Normal 22 3 3 2" xfId="4719"/>
    <cellStyle name="Normal 22 3 3 2 2" xfId="10355"/>
    <cellStyle name="Normal 22 3 3 3" xfId="7545"/>
    <cellStyle name="Normal 22 3 4" xfId="3318"/>
    <cellStyle name="Normal 22 3 4 2" xfId="8954"/>
    <cellStyle name="Normal 22 3 5" xfId="6144"/>
    <cellStyle name="Normal 22 4" xfId="860"/>
    <cellStyle name="Normal 22 4 2" xfId="2261"/>
    <cellStyle name="Normal 22 4 2 2" xfId="5071"/>
    <cellStyle name="Normal 22 4 2 2 2" xfId="10707"/>
    <cellStyle name="Normal 22 4 2 3" xfId="7897"/>
    <cellStyle name="Normal 22 4 3" xfId="3670"/>
    <cellStyle name="Normal 22 4 3 2" xfId="9306"/>
    <cellStyle name="Normal 22 4 4" xfId="6496"/>
    <cellStyle name="Normal 22 5" xfId="1565"/>
    <cellStyle name="Normal 22 5 2" xfId="4375"/>
    <cellStyle name="Normal 22 5 2 2" xfId="10011"/>
    <cellStyle name="Normal 22 5 3" xfId="7201"/>
    <cellStyle name="Normal 22 6" xfId="2974"/>
    <cellStyle name="Normal 22 6 2" xfId="8610"/>
    <cellStyle name="Normal 22 7" xfId="5800"/>
    <cellStyle name="Normal 23" xfId="166"/>
    <cellStyle name="Normal 23 2" xfId="338"/>
    <cellStyle name="Normal 23 2 2" xfId="682"/>
    <cellStyle name="Normal 23 2 2 2" xfId="1378"/>
    <cellStyle name="Normal 23 2 2 2 2" xfId="2779"/>
    <cellStyle name="Normal 23 2 2 2 2 2" xfId="5589"/>
    <cellStyle name="Normal 23 2 2 2 2 2 2" xfId="11225"/>
    <cellStyle name="Normal 23 2 2 2 2 3" xfId="8415"/>
    <cellStyle name="Normal 23 2 2 2 3" xfId="4188"/>
    <cellStyle name="Normal 23 2 2 2 3 2" xfId="9824"/>
    <cellStyle name="Normal 23 2 2 2 4" xfId="7014"/>
    <cellStyle name="Normal 23 2 2 3" xfId="2083"/>
    <cellStyle name="Normal 23 2 2 3 2" xfId="4893"/>
    <cellStyle name="Normal 23 2 2 3 2 2" xfId="10529"/>
    <cellStyle name="Normal 23 2 2 3 3" xfId="7719"/>
    <cellStyle name="Normal 23 2 2 4" xfId="3492"/>
    <cellStyle name="Normal 23 2 2 4 2" xfId="9128"/>
    <cellStyle name="Normal 23 2 2 5" xfId="6318"/>
    <cellStyle name="Normal 23 2 3" xfId="1034"/>
    <cellStyle name="Normal 23 2 3 2" xfId="2435"/>
    <cellStyle name="Normal 23 2 3 2 2" xfId="5245"/>
    <cellStyle name="Normal 23 2 3 2 2 2" xfId="10881"/>
    <cellStyle name="Normal 23 2 3 2 3" xfId="8071"/>
    <cellStyle name="Normal 23 2 3 3" xfId="3844"/>
    <cellStyle name="Normal 23 2 3 3 2" xfId="9480"/>
    <cellStyle name="Normal 23 2 3 4" xfId="6670"/>
    <cellStyle name="Normal 23 2 4" xfId="1739"/>
    <cellStyle name="Normal 23 2 4 2" xfId="4549"/>
    <cellStyle name="Normal 23 2 4 2 2" xfId="10185"/>
    <cellStyle name="Normal 23 2 4 3" xfId="7375"/>
    <cellStyle name="Normal 23 2 5" xfId="3148"/>
    <cellStyle name="Normal 23 2 5 2" xfId="8784"/>
    <cellStyle name="Normal 23 2 6" xfId="5974"/>
    <cellStyle name="Normal 23 3" xfId="510"/>
    <cellStyle name="Normal 23 3 2" xfId="1206"/>
    <cellStyle name="Normal 23 3 2 2" xfId="2607"/>
    <cellStyle name="Normal 23 3 2 2 2" xfId="5417"/>
    <cellStyle name="Normal 23 3 2 2 2 2" xfId="11053"/>
    <cellStyle name="Normal 23 3 2 2 3" xfId="8243"/>
    <cellStyle name="Normal 23 3 2 3" xfId="4016"/>
    <cellStyle name="Normal 23 3 2 3 2" xfId="9652"/>
    <cellStyle name="Normal 23 3 2 4" xfId="6842"/>
    <cellStyle name="Normal 23 3 3" xfId="1911"/>
    <cellStyle name="Normal 23 3 3 2" xfId="4721"/>
    <cellStyle name="Normal 23 3 3 2 2" xfId="10357"/>
    <cellStyle name="Normal 23 3 3 3" xfId="7547"/>
    <cellStyle name="Normal 23 3 4" xfId="3320"/>
    <cellStyle name="Normal 23 3 4 2" xfId="8956"/>
    <cellStyle name="Normal 23 3 5" xfId="6146"/>
    <cellStyle name="Normal 23 4" xfId="862"/>
    <cellStyle name="Normal 23 4 2" xfId="2263"/>
    <cellStyle name="Normal 23 4 2 2" xfId="5073"/>
    <cellStyle name="Normal 23 4 2 2 2" xfId="10709"/>
    <cellStyle name="Normal 23 4 2 3" xfId="7899"/>
    <cellStyle name="Normal 23 4 3" xfId="3672"/>
    <cellStyle name="Normal 23 4 3 2" xfId="9308"/>
    <cellStyle name="Normal 23 4 4" xfId="6498"/>
    <cellStyle name="Normal 23 5" xfId="1567"/>
    <cellStyle name="Normal 23 5 2" xfId="4377"/>
    <cellStyle name="Normal 23 5 2 2" xfId="10013"/>
    <cellStyle name="Normal 23 5 3" xfId="7203"/>
    <cellStyle name="Normal 23 6" xfId="2976"/>
    <cellStyle name="Normal 23 6 2" xfId="8612"/>
    <cellStyle name="Normal 23 7" xfId="5802"/>
    <cellStyle name="Normal 24" xfId="168"/>
    <cellStyle name="Normal 24 2" xfId="340"/>
    <cellStyle name="Normal 24 2 2" xfId="684"/>
    <cellStyle name="Normal 24 2 2 2" xfId="1380"/>
    <cellStyle name="Normal 24 2 2 2 2" xfId="2781"/>
    <cellStyle name="Normal 24 2 2 2 2 2" xfId="5591"/>
    <cellStyle name="Normal 24 2 2 2 2 2 2" xfId="11227"/>
    <cellStyle name="Normal 24 2 2 2 2 3" xfId="8417"/>
    <cellStyle name="Normal 24 2 2 2 3" xfId="4190"/>
    <cellStyle name="Normal 24 2 2 2 3 2" xfId="9826"/>
    <cellStyle name="Normal 24 2 2 2 4" xfId="7016"/>
    <cellStyle name="Normal 24 2 2 3" xfId="2085"/>
    <cellStyle name="Normal 24 2 2 3 2" xfId="4895"/>
    <cellStyle name="Normal 24 2 2 3 2 2" xfId="10531"/>
    <cellStyle name="Normal 24 2 2 3 3" xfId="7721"/>
    <cellStyle name="Normal 24 2 2 4" xfId="3494"/>
    <cellStyle name="Normal 24 2 2 4 2" xfId="9130"/>
    <cellStyle name="Normal 24 2 2 5" xfId="6320"/>
    <cellStyle name="Normal 24 2 3" xfId="1036"/>
    <cellStyle name="Normal 24 2 3 2" xfId="2437"/>
    <cellStyle name="Normal 24 2 3 2 2" xfId="5247"/>
    <cellStyle name="Normal 24 2 3 2 2 2" xfId="10883"/>
    <cellStyle name="Normal 24 2 3 2 3" xfId="8073"/>
    <cellStyle name="Normal 24 2 3 3" xfId="3846"/>
    <cellStyle name="Normal 24 2 3 3 2" xfId="9482"/>
    <cellStyle name="Normal 24 2 3 4" xfId="6672"/>
    <cellStyle name="Normal 24 2 4" xfId="1741"/>
    <cellStyle name="Normal 24 2 4 2" xfId="4551"/>
    <cellStyle name="Normal 24 2 4 2 2" xfId="10187"/>
    <cellStyle name="Normal 24 2 4 3" xfId="7377"/>
    <cellStyle name="Normal 24 2 5" xfId="3150"/>
    <cellStyle name="Normal 24 2 5 2" xfId="8786"/>
    <cellStyle name="Normal 24 2 6" xfId="5976"/>
    <cellStyle name="Normal 24 3" xfId="512"/>
    <cellStyle name="Normal 24 3 2" xfId="1208"/>
    <cellStyle name="Normal 24 3 2 2" xfId="2609"/>
    <cellStyle name="Normal 24 3 2 2 2" xfId="5419"/>
    <cellStyle name="Normal 24 3 2 2 2 2" xfId="11055"/>
    <cellStyle name="Normal 24 3 2 2 3" xfId="8245"/>
    <cellStyle name="Normal 24 3 2 3" xfId="4018"/>
    <cellStyle name="Normal 24 3 2 3 2" xfId="9654"/>
    <cellStyle name="Normal 24 3 2 4" xfId="6844"/>
    <cellStyle name="Normal 24 3 3" xfId="1913"/>
    <cellStyle name="Normal 24 3 3 2" xfId="4723"/>
    <cellStyle name="Normal 24 3 3 2 2" xfId="10359"/>
    <cellStyle name="Normal 24 3 3 3" xfId="7549"/>
    <cellStyle name="Normal 24 3 4" xfId="3322"/>
    <cellStyle name="Normal 24 3 4 2" xfId="8958"/>
    <cellStyle name="Normal 24 3 5" xfId="6148"/>
    <cellStyle name="Normal 24 4" xfId="864"/>
    <cellStyle name="Normal 24 4 2" xfId="2265"/>
    <cellStyle name="Normal 24 4 2 2" xfId="5075"/>
    <cellStyle name="Normal 24 4 2 2 2" xfId="10711"/>
    <cellStyle name="Normal 24 4 2 3" xfId="7901"/>
    <cellStyle name="Normal 24 4 3" xfId="3674"/>
    <cellStyle name="Normal 24 4 3 2" xfId="9310"/>
    <cellStyle name="Normal 24 4 4" xfId="6500"/>
    <cellStyle name="Normal 24 5" xfId="1569"/>
    <cellStyle name="Normal 24 5 2" xfId="4379"/>
    <cellStyle name="Normal 24 5 2 2" xfId="10015"/>
    <cellStyle name="Normal 24 5 3" xfId="7205"/>
    <cellStyle name="Normal 24 6" xfId="2978"/>
    <cellStyle name="Normal 24 6 2" xfId="8614"/>
    <cellStyle name="Normal 24 7" xfId="5804"/>
    <cellStyle name="Normal 25" xfId="170"/>
    <cellStyle name="Normal 25 2" xfId="342"/>
    <cellStyle name="Normal 25 2 2" xfId="686"/>
    <cellStyle name="Normal 25 2 2 2" xfId="1382"/>
    <cellStyle name="Normal 25 2 2 2 2" xfId="2783"/>
    <cellStyle name="Normal 25 2 2 2 2 2" xfId="5593"/>
    <cellStyle name="Normal 25 2 2 2 2 2 2" xfId="11229"/>
    <cellStyle name="Normal 25 2 2 2 2 3" xfId="8419"/>
    <cellStyle name="Normal 25 2 2 2 3" xfId="4192"/>
    <cellStyle name="Normal 25 2 2 2 3 2" xfId="9828"/>
    <cellStyle name="Normal 25 2 2 2 4" xfId="7018"/>
    <cellStyle name="Normal 25 2 2 3" xfId="2087"/>
    <cellStyle name="Normal 25 2 2 3 2" xfId="4897"/>
    <cellStyle name="Normal 25 2 2 3 2 2" xfId="10533"/>
    <cellStyle name="Normal 25 2 2 3 3" xfId="7723"/>
    <cellStyle name="Normal 25 2 2 4" xfId="3496"/>
    <cellStyle name="Normal 25 2 2 4 2" xfId="9132"/>
    <cellStyle name="Normal 25 2 2 5" xfId="6322"/>
    <cellStyle name="Normal 25 2 3" xfId="1038"/>
    <cellStyle name="Normal 25 2 3 2" xfId="2439"/>
    <cellStyle name="Normal 25 2 3 2 2" xfId="5249"/>
    <cellStyle name="Normal 25 2 3 2 2 2" xfId="10885"/>
    <cellStyle name="Normal 25 2 3 2 3" xfId="8075"/>
    <cellStyle name="Normal 25 2 3 3" xfId="3848"/>
    <cellStyle name="Normal 25 2 3 3 2" xfId="9484"/>
    <cellStyle name="Normal 25 2 3 4" xfId="6674"/>
    <cellStyle name="Normal 25 2 4" xfId="1743"/>
    <cellStyle name="Normal 25 2 4 2" xfId="4553"/>
    <cellStyle name="Normal 25 2 4 2 2" xfId="10189"/>
    <cellStyle name="Normal 25 2 4 3" xfId="7379"/>
    <cellStyle name="Normal 25 2 5" xfId="3152"/>
    <cellStyle name="Normal 25 2 5 2" xfId="8788"/>
    <cellStyle name="Normal 25 2 6" xfId="5978"/>
    <cellStyle name="Normal 25 3" xfId="514"/>
    <cellStyle name="Normal 25 3 2" xfId="1210"/>
    <cellStyle name="Normal 25 3 2 2" xfId="2611"/>
    <cellStyle name="Normal 25 3 2 2 2" xfId="5421"/>
    <cellStyle name="Normal 25 3 2 2 2 2" xfId="11057"/>
    <cellStyle name="Normal 25 3 2 2 3" xfId="8247"/>
    <cellStyle name="Normal 25 3 2 3" xfId="4020"/>
    <cellStyle name="Normal 25 3 2 3 2" xfId="9656"/>
    <cellStyle name="Normal 25 3 2 4" xfId="6846"/>
    <cellStyle name="Normal 25 3 3" xfId="1915"/>
    <cellStyle name="Normal 25 3 3 2" xfId="4725"/>
    <cellStyle name="Normal 25 3 3 2 2" xfId="10361"/>
    <cellStyle name="Normal 25 3 3 3" xfId="7551"/>
    <cellStyle name="Normal 25 3 4" xfId="3324"/>
    <cellStyle name="Normal 25 3 4 2" xfId="8960"/>
    <cellStyle name="Normal 25 3 5" xfId="6150"/>
    <cellStyle name="Normal 25 4" xfId="866"/>
    <cellStyle name="Normal 25 4 2" xfId="2267"/>
    <cellStyle name="Normal 25 4 2 2" xfId="5077"/>
    <cellStyle name="Normal 25 4 2 2 2" xfId="10713"/>
    <cellStyle name="Normal 25 4 2 3" xfId="7903"/>
    <cellStyle name="Normal 25 4 3" xfId="3676"/>
    <cellStyle name="Normal 25 4 3 2" xfId="9312"/>
    <cellStyle name="Normal 25 4 4" xfId="6502"/>
    <cellStyle name="Normal 25 5" xfId="1571"/>
    <cellStyle name="Normal 25 5 2" xfId="4381"/>
    <cellStyle name="Normal 25 5 2 2" xfId="10017"/>
    <cellStyle name="Normal 25 5 3" xfId="7207"/>
    <cellStyle name="Normal 25 6" xfId="2980"/>
    <cellStyle name="Normal 25 6 2" xfId="8616"/>
    <cellStyle name="Normal 25 7" xfId="5806"/>
    <cellStyle name="Normal 26" xfId="172"/>
    <cellStyle name="Normal 26 2" xfId="516"/>
    <cellStyle name="Normal 26 2 2" xfId="1212"/>
    <cellStyle name="Normal 26 2 2 2" xfId="2613"/>
    <cellStyle name="Normal 26 2 2 2 2" xfId="5423"/>
    <cellStyle name="Normal 26 2 2 2 2 2" xfId="11059"/>
    <cellStyle name="Normal 26 2 2 2 3" xfId="8249"/>
    <cellStyle name="Normal 26 2 2 3" xfId="4022"/>
    <cellStyle name="Normal 26 2 2 3 2" xfId="9658"/>
    <cellStyle name="Normal 26 2 2 4" xfId="6848"/>
    <cellStyle name="Normal 26 2 3" xfId="1917"/>
    <cellStyle name="Normal 26 2 3 2" xfId="4727"/>
    <cellStyle name="Normal 26 2 3 2 2" xfId="10363"/>
    <cellStyle name="Normal 26 2 3 3" xfId="7553"/>
    <cellStyle name="Normal 26 2 4" xfId="3326"/>
    <cellStyle name="Normal 26 2 4 2" xfId="8962"/>
    <cellStyle name="Normal 26 2 5" xfId="6152"/>
    <cellStyle name="Normal 26 3" xfId="868"/>
    <cellStyle name="Normal 26 3 2" xfId="2269"/>
    <cellStyle name="Normal 26 3 2 2" xfId="5079"/>
    <cellStyle name="Normal 26 3 2 2 2" xfId="10715"/>
    <cellStyle name="Normal 26 3 2 3" xfId="7905"/>
    <cellStyle name="Normal 26 3 3" xfId="3678"/>
    <cellStyle name="Normal 26 3 3 2" xfId="9314"/>
    <cellStyle name="Normal 26 3 4" xfId="6504"/>
    <cellStyle name="Normal 26 4" xfId="1573"/>
    <cellStyle name="Normal 26 4 2" xfId="4383"/>
    <cellStyle name="Normal 26 4 2 2" xfId="10019"/>
    <cellStyle name="Normal 26 4 3" xfId="7209"/>
    <cellStyle name="Normal 26 5" xfId="2982"/>
    <cellStyle name="Normal 26 5 2" xfId="8618"/>
    <cellStyle name="Normal 26 6" xfId="5808"/>
    <cellStyle name="Normal 27" xfId="344"/>
    <cellStyle name="Normal 27 2" xfId="1040"/>
    <cellStyle name="Normal 27 2 2" xfId="2441"/>
    <cellStyle name="Normal 27 2 2 2" xfId="5251"/>
    <cellStyle name="Normal 27 2 2 2 2" xfId="10887"/>
    <cellStyle name="Normal 27 2 2 3" xfId="8077"/>
    <cellStyle name="Normal 27 2 3" xfId="3850"/>
    <cellStyle name="Normal 27 2 3 2" xfId="9486"/>
    <cellStyle name="Normal 27 2 4" xfId="6676"/>
    <cellStyle name="Normal 27 3" xfId="1745"/>
    <cellStyle name="Normal 27 3 2" xfId="4555"/>
    <cellStyle name="Normal 27 3 2 2" xfId="10191"/>
    <cellStyle name="Normal 27 3 3" xfId="7381"/>
    <cellStyle name="Normal 27 4" xfId="3154"/>
    <cellStyle name="Normal 27 4 2" xfId="8790"/>
    <cellStyle name="Normal 27 5" xfId="5980"/>
    <cellStyle name="Normal 28" xfId="688"/>
    <cellStyle name="Normal 28 2" xfId="1384"/>
    <cellStyle name="Normal 28 2 2" xfId="2785"/>
    <cellStyle name="Normal 28 2 2 2" xfId="5595"/>
    <cellStyle name="Normal 28 2 2 2 2" xfId="11231"/>
    <cellStyle name="Normal 28 2 2 3" xfId="8421"/>
    <cellStyle name="Normal 28 2 3" xfId="4194"/>
    <cellStyle name="Normal 28 2 3 2" xfId="9830"/>
    <cellStyle name="Normal 28 2 4" xfId="7020"/>
    <cellStyle name="Normal 28 3" xfId="2089"/>
    <cellStyle name="Normal 28 3 2" xfId="4899"/>
    <cellStyle name="Normal 28 3 2 2" xfId="10535"/>
    <cellStyle name="Normal 28 3 3" xfId="7725"/>
    <cellStyle name="Normal 28 4" xfId="3498"/>
    <cellStyle name="Normal 28 4 2" xfId="9134"/>
    <cellStyle name="Normal 28 5" xfId="6324"/>
    <cellStyle name="Normal 29" xfId="690"/>
    <cellStyle name="Normal 29 2" xfId="1386"/>
    <cellStyle name="Normal 29 2 2" xfId="2787"/>
    <cellStyle name="Normal 29 2 2 2" xfId="5597"/>
    <cellStyle name="Normal 29 2 2 2 2" xfId="11233"/>
    <cellStyle name="Normal 29 2 2 3" xfId="8423"/>
    <cellStyle name="Normal 29 2 3" xfId="4196"/>
    <cellStyle name="Normal 29 2 3 2" xfId="9832"/>
    <cellStyle name="Normal 29 2 4" xfId="7022"/>
    <cellStyle name="Normal 29 3" xfId="2091"/>
    <cellStyle name="Normal 29 3 2" xfId="4901"/>
    <cellStyle name="Normal 29 3 2 2" xfId="10537"/>
    <cellStyle name="Normal 29 3 3" xfId="7727"/>
    <cellStyle name="Normal 29 4" xfId="3500"/>
    <cellStyle name="Normal 29 4 2" xfId="9136"/>
    <cellStyle name="Normal 29 5" xfId="6326"/>
    <cellStyle name="Normal 3" xfId="6"/>
    <cellStyle name="Normal 3 10" xfId="5642"/>
    <cellStyle name="Normal 3 2" xfId="18"/>
    <cellStyle name="Normal 3 2 2" xfId="50"/>
    <cellStyle name="Normal 3 2 2 2" xfId="130"/>
    <cellStyle name="Normal 3 2 2 2 2" xfId="302"/>
    <cellStyle name="Normal 3 2 2 2 2 2" xfId="646"/>
    <cellStyle name="Normal 3 2 2 2 2 2 2" xfId="1342"/>
    <cellStyle name="Normal 3 2 2 2 2 2 2 2" xfId="2743"/>
    <cellStyle name="Normal 3 2 2 2 2 2 2 2 2" xfId="5553"/>
    <cellStyle name="Normal 3 2 2 2 2 2 2 2 2 2" xfId="11189"/>
    <cellStyle name="Normal 3 2 2 2 2 2 2 2 3" xfId="8379"/>
    <cellStyle name="Normal 3 2 2 2 2 2 2 3" xfId="4152"/>
    <cellStyle name="Normal 3 2 2 2 2 2 2 3 2" xfId="9788"/>
    <cellStyle name="Normal 3 2 2 2 2 2 2 4" xfId="6978"/>
    <cellStyle name="Normal 3 2 2 2 2 2 3" xfId="2047"/>
    <cellStyle name="Normal 3 2 2 2 2 2 3 2" xfId="4857"/>
    <cellStyle name="Normal 3 2 2 2 2 2 3 2 2" xfId="10493"/>
    <cellStyle name="Normal 3 2 2 2 2 2 3 3" xfId="7683"/>
    <cellStyle name="Normal 3 2 2 2 2 2 4" xfId="3456"/>
    <cellStyle name="Normal 3 2 2 2 2 2 4 2" xfId="9092"/>
    <cellStyle name="Normal 3 2 2 2 2 2 5" xfId="6282"/>
    <cellStyle name="Normal 3 2 2 2 2 3" xfId="998"/>
    <cellStyle name="Normal 3 2 2 2 2 3 2" xfId="2399"/>
    <cellStyle name="Normal 3 2 2 2 2 3 2 2" xfId="5209"/>
    <cellStyle name="Normal 3 2 2 2 2 3 2 2 2" xfId="10845"/>
    <cellStyle name="Normal 3 2 2 2 2 3 2 3" xfId="8035"/>
    <cellStyle name="Normal 3 2 2 2 2 3 3" xfId="3808"/>
    <cellStyle name="Normal 3 2 2 2 2 3 3 2" xfId="9444"/>
    <cellStyle name="Normal 3 2 2 2 2 3 4" xfId="6634"/>
    <cellStyle name="Normal 3 2 2 2 2 4" xfId="1703"/>
    <cellStyle name="Normal 3 2 2 2 2 4 2" xfId="4513"/>
    <cellStyle name="Normal 3 2 2 2 2 4 2 2" xfId="10149"/>
    <cellStyle name="Normal 3 2 2 2 2 4 3" xfId="7339"/>
    <cellStyle name="Normal 3 2 2 2 2 5" xfId="3112"/>
    <cellStyle name="Normal 3 2 2 2 2 5 2" xfId="8748"/>
    <cellStyle name="Normal 3 2 2 2 2 6" xfId="5938"/>
    <cellStyle name="Normal 3 2 2 2 3" xfId="474"/>
    <cellStyle name="Normal 3 2 2 2 3 2" xfId="1170"/>
    <cellStyle name="Normal 3 2 2 2 3 2 2" xfId="2571"/>
    <cellStyle name="Normal 3 2 2 2 3 2 2 2" xfId="5381"/>
    <cellStyle name="Normal 3 2 2 2 3 2 2 2 2" xfId="11017"/>
    <cellStyle name="Normal 3 2 2 2 3 2 2 3" xfId="8207"/>
    <cellStyle name="Normal 3 2 2 2 3 2 3" xfId="3980"/>
    <cellStyle name="Normal 3 2 2 2 3 2 3 2" xfId="9616"/>
    <cellStyle name="Normal 3 2 2 2 3 2 4" xfId="6806"/>
    <cellStyle name="Normal 3 2 2 2 3 3" xfId="1875"/>
    <cellStyle name="Normal 3 2 2 2 3 3 2" xfId="4685"/>
    <cellStyle name="Normal 3 2 2 2 3 3 2 2" xfId="10321"/>
    <cellStyle name="Normal 3 2 2 2 3 3 3" xfId="7511"/>
    <cellStyle name="Normal 3 2 2 2 3 4" xfId="3284"/>
    <cellStyle name="Normal 3 2 2 2 3 4 2" xfId="8920"/>
    <cellStyle name="Normal 3 2 2 2 3 5" xfId="6110"/>
    <cellStyle name="Normal 3 2 2 2 4" xfId="826"/>
    <cellStyle name="Normal 3 2 2 2 4 2" xfId="2227"/>
    <cellStyle name="Normal 3 2 2 2 4 2 2" xfId="5037"/>
    <cellStyle name="Normal 3 2 2 2 4 2 2 2" xfId="10673"/>
    <cellStyle name="Normal 3 2 2 2 4 2 3" xfId="7863"/>
    <cellStyle name="Normal 3 2 2 2 4 3" xfId="3636"/>
    <cellStyle name="Normal 3 2 2 2 4 3 2" xfId="9272"/>
    <cellStyle name="Normal 3 2 2 2 4 4" xfId="6462"/>
    <cellStyle name="Normal 3 2 2 2 5" xfId="1531"/>
    <cellStyle name="Normal 3 2 2 2 5 2" xfId="4341"/>
    <cellStyle name="Normal 3 2 2 2 5 2 2" xfId="9977"/>
    <cellStyle name="Normal 3 2 2 2 5 3" xfId="7167"/>
    <cellStyle name="Normal 3 2 2 2 6" xfId="2940"/>
    <cellStyle name="Normal 3 2 2 2 6 2" xfId="8576"/>
    <cellStyle name="Normal 3 2 2 2 7" xfId="5766"/>
    <cellStyle name="Normal 3 2 2 3" xfId="222"/>
    <cellStyle name="Normal 3 2 2 3 2" xfId="566"/>
    <cellStyle name="Normal 3 2 2 3 2 2" xfId="1262"/>
    <cellStyle name="Normal 3 2 2 3 2 2 2" xfId="2663"/>
    <cellStyle name="Normal 3 2 2 3 2 2 2 2" xfId="5473"/>
    <cellStyle name="Normal 3 2 2 3 2 2 2 2 2" xfId="11109"/>
    <cellStyle name="Normal 3 2 2 3 2 2 2 3" xfId="8299"/>
    <cellStyle name="Normal 3 2 2 3 2 2 3" xfId="4072"/>
    <cellStyle name="Normal 3 2 2 3 2 2 3 2" xfId="9708"/>
    <cellStyle name="Normal 3 2 2 3 2 2 4" xfId="6898"/>
    <cellStyle name="Normal 3 2 2 3 2 3" xfId="1967"/>
    <cellStyle name="Normal 3 2 2 3 2 3 2" xfId="4777"/>
    <cellStyle name="Normal 3 2 2 3 2 3 2 2" xfId="10413"/>
    <cellStyle name="Normal 3 2 2 3 2 3 3" xfId="7603"/>
    <cellStyle name="Normal 3 2 2 3 2 4" xfId="3376"/>
    <cellStyle name="Normal 3 2 2 3 2 4 2" xfId="9012"/>
    <cellStyle name="Normal 3 2 2 3 2 5" xfId="6202"/>
    <cellStyle name="Normal 3 2 2 3 3" xfId="918"/>
    <cellStyle name="Normal 3 2 2 3 3 2" xfId="2319"/>
    <cellStyle name="Normal 3 2 2 3 3 2 2" xfId="5129"/>
    <cellStyle name="Normal 3 2 2 3 3 2 2 2" xfId="10765"/>
    <cellStyle name="Normal 3 2 2 3 3 2 3" xfId="7955"/>
    <cellStyle name="Normal 3 2 2 3 3 3" xfId="3728"/>
    <cellStyle name="Normal 3 2 2 3 3 3 2" xfId="9364"/>
    <cellStyle name="Normal 3 2 2 3 3 4" xfId="6554"/>
    <cellStyle name="Normal 3 2 2 3 4" xfId="1623"/>
    <cellStyle name="Normal 3 2 2 3 4 2" xfId="4433"/>
    <cellStyle name="Normal 3 2 2 3 4 2 2" xfId="10069"/>
    <cellStyle name="Normal 3 2 2 3 4 3" xfId="7259"/>
    <cellStyle name="Normal 3 2 2 3 5" xfId="3032"/>
    <cellStyle name="Normal 3 2 2 3 5 2" xfId="8668"/>
    <cellStyle name="Normal 3 2 2 3 6" xfId="5858"/>
    <cellStyle name="Normal 3 2 2 4" xfId="394"/>
    <cellStyle name="Normal 3 2 2 4 2" xfId="1090"/>
    <cellStyle name="Normal 3 2 2 4 2 2" xfId="2491"/>
    <cellStyle name="Normal 3 2 2 4 2 2 2" xfId="5301"/>
    <cellStyle name="Normal 3 2 2 4 2 2 2 2" xfId="10937"/>
    <cellStyle name="Normal 3 2 2 4 2 2 3" xfId="8127"/>
    <cellStyle name="Normal 3 2 2 4 2 3" xfId="3900"/>
    <cellStyle name="Normal 3 2 2 4 2 3 2" xfId="9536"/>
    <cellStyle name="Normal 3 2 2 4 2 4" xfId="6726"/>
    <cellStyle name="Normal 3 2 2 4 3" xfId="1795"/>
    <cellStyle name="Normal 3 2 2 4 3 2" xfId="4605"/>
    <cellStyle name="Normal 3 2 2 4 3 2 2" xfId="10241"/>
    <cellStyle name="Normal 3 2 2 4 3 3" xfId="7431"/>
    <cellStyle name="Normal 3 2 2 4 4" xfId="3204"/>
    <cellStyle name="Normal 3 2 2 4 4 2" xfId="8840"/>
    <cellStyle name="Normal 3 2 2 4 5" xfId="6030"/>
    <cellStyle name="Normal 3 2 2 5" xfId="746"/>
    <cellStyle name="Normal 3 2 2 5 2" xfId="2147"/>
    <cellStyle name="Normal 3 2 2 5 2 2" xfId="4957"/>
    <cellStyle name="Normal 3 2 2 5 2 2 2" xfId="10593"/>
    <cellStyle name="Normal 3 2 2 5 2 3" xfId="7783"/>
    <cellStyle name="Normal 3 2 2 5 3" xfId="3556"/>
    <cellStyle name="Normal 3 2 2 5 3 2" xfId="9192"/>
    <cellStyle name="Normal 3 2 2 5 4" xfId="6382"/>
    <cellStyle name="Normal 3 2 2 6" xfId="1451"/>
    <cellStyle name="Normal 3 2 2 6 2" xfId="4261"/>
    <cellStyle name="Normal 3 2 2 6 2 2" xfId="9897"/>
    <cellStyle name="Normal 3 2 2 6 3" xfId="7087"/>
    <cellStyle name="Normal 3 2 2 7" xfId="2860"/>
    <cellStyle name="Normal 3 2 2 7 2" xfId="8496"/>
    <cellStyle name="Normal 3 2 2 8" xfId="5686"/>
    <cellStyle name="Normal 3 2 3" xfId="98"/>
    <cellStyle name="Normal 3 2 3 2" xfId="270"/>
    <cellStyle name="Normal 3 2 3 2 2" xfId="614"/>
    <cellStyle name="Normal 3 2 3 2 2 2" xfId="1310"/>
    <cellStyle name="Normal 3 2 3 2 2 2 2" xfId="2711"/>
    <cellStyle name="Normal 3 2 3 2 2 2 2 2" xfId="5521"/>
    <cellStyle name="Normal 3 2 3 2 2 2 2 2 2" xfId="11157"/>
    <cellStyle name="Normal 3 2 3 2 2 2 2 3" xfId="8347"/>
    <cellStyle name="Normal 3 2 3 2 2 2 3" xfId="4120"/>
    <cellStyle name="Normal 3 2 3 2 2 2 3 2" xfId="9756"/>
    <cellStyle name="Normal 3 2 3 2 2 2 4" xfId="6946"/>
    <cellStyle name="Normal 3 2 3 2 2 3" xfId="2015"/>
    <cellStyle name="Normal 3 2 3 2 2 3 2" xfId="4825"/>
    <cellStyle name="Normal 3 2 3 2 2 3 2 2" xfId="10461"/>
    <cellStyle name="Normal 3 2 3 2 2 3 3" xfId="7651"/>
    <cellStyle name="Normal 3 2 3 2 2 4" xfId="3424"/>
    <cellStyle name="Normal 3 2 3 2 2 4 2" xfId="9060"/>
    <cellStyle name="Normal 3 2 3 2 2 5" xfId="6250"/>
    <cellStyle name="Normal 3 2 3 2 3" xfId="966"/>
    <cellStyle name="Normal 3 2 3 2 3 2" xfId="2367"/>
    <cellStyle name="Normal 3 2 3 2 3 2 2" xfId="5177"/>
    <cellStyle name="Normal 3 2 3 2 3 2 2 2" xfId="10813"/>
    <cellStyle name="Normal 3 2 3 2 3 2 3" xfId="8003"/>
    <cellStyle name="Normal 3 2 3 2 3 3" xfId="3776"/>
    <cellStyle name="Normal 3 2 3 2 3 3 2" xfId="9412"/>
    <cellStyle name="Normal 3 2 3 2 3 4" xfId="6602"/>
    <cellStyle name="Normal 3 2 3 2 4" xfId="1671"/>
    <cellStyle name="Normal 3 2 3 2 4 2" xfId="4481"/>
    <cellStyle name="Normal 3 2 3 2 4 2 2" xfId="10117"/>
    <cellStyle name="Normal 3 2 3 2 4 3" xfId="7307"/>
    <cellStyle name="Normal 3 2 3 2 5" xfId="3080"/>
    <cellStyle name="Normal 3 2 3 2 5 2" xfId="8716"/>
    <cellStyle name="Normal 3 2 3 2 6" xfId="5906"/>
    <cellStyle name="Normal 3 2 3 3" xfId="442"/>
    <cellStyle name="Normal 3 2 3 3 2" xfId="1138"/>
    <cellStyle name="Normal 3 2 3 3 2 2" xfId="2539"/>
    <cellStyle name="Normal 3 2 3 3 2 2 2" xfId="5349"/>
    <cellStyle name="Normal 3 2 3 3 2 2 2 2" xfId="10985"/>
    <cellStyle name="Normal 3 2 3 3 2 2 3" xfId="8175"/>
    <cellStyle name="Normal 3 2 3 3 2 3" xfId="3948"/>
    <cellStyle name="Normal 3 2 3 3 2 3 2" xfId="9584"/>
    <cellStyle name="Normal 3 2 3 3 2 4" xfId="6774"/>
    <cellStyle name="Normal 3 2 3 3 3" xfId="1843"/>
    <cellStyle name="Normal 3 2 3 3 3 2" xfId="4653"/>
    <cellStyle name="Normal 3 2 3 3 3 2 2" xfId="10289"/>
    <cellStyle name="Normal 3 2 3 3 3 3" xfId="7479"/>
    <cellStyle name="Normal 3 2 3 3 4" xfId="3252"/>
    <cellStyle name="Normal 3 2 3 3 4 2" xfId="8888"/>
    <cellStyle name="Normal 3 2 3 3 5" xfId="6078"/>
    <cellStyle name="Normal 3 2 3 4" xfId="794"/>
    <cellStyle name="Normal 3 2 3 4 2" xfId="2195"/>
    <cellStyle name="Normal 3 2 3 4 2 2" xfId="5005"/>
    <cellStyle name="Normal 3 2 3 4 2 2 2" xfId="10641"/>
    <cellStyle name="Normal 3 2 3 4 2 3" xfId="7831"/>
    <cellStyle name="Normal 3 2 3 4 3" xfId="3604"/>
    <cellStyle name="Normal 3 2 3 4 3 2" xfId="9240"/>
    <cellStyle name="Normal 3 2 3 4 4" xfId="6430"/>
    <cellStyle name="Normal 3 2 3 5" xfId="1499"/>
    <cellStyle name="Normal 3 2 3 5 2" xfId="4309"/>
    <cellStyle name="Normal 3 2 3 5 2 2" xfId="9945"/>
    <cellStyle name="Normal 3 2 3 5 3" xfId="7135"/>
    <cellStyle name="Normal 3 2 3 6" xfId="2908"/>
    <cellStyle name="Normal 3 2 3 6 2" xfId="8544"/>
    <cellStyle name="Normal 3 2 3 7" xfId="5734"/>
    <cellStyle name="Normal 3 2 4" xfId="190"/>
    <cellStyle name="Normal 3 2 4 2" xfId="534"/>
    <cellStyle name="Normal 3 2 4 2 2" xfId="1230"/>
    <cellStyle name="Normal 3 2 4 2 2 2" xfId="2631"/>
    <cellStyle name="Normal 3 2 4 2 2 2 2" xfId="5441"/>
    <cellStyle name="Normal 3 2 4 2 2 2 2 2" xfId="11077"/>
    <cellStyle name="Normal 3 2 4 2 2 2 3" xfId="8267"/>
    <cellStyle name="Normal 3 2 4 2 2 3" xfId="4040"/>
    <cellStyle name="Normal 3 2 4 2 2 3 2" xfId="9676"/>
    <cellStyle name="Normal 3 2 4 2 2 4" xfId="6866"/>
    <cellStyle name="Normal 3 2 4 2 3" xfId="1935"/>
    <cellStyle name="Normal 3 2 4 2 3 2" xfId="4745"/>
    <cellStyle name="Normal 3 2 4 2 3 2 2" xfId="10381"/>
    <cellStyle name="Normal 3 2 4 2 3 3" xfId="7571"/>
    <cellStyle name="Normal 3 2 4 2 4" xfId="3344"/>
    <cellStyle name="Normal 3 2 4 2 4 2" xfId="8980"/>
    <cellStyle name="Normal 3 2 4 2 5" xfId="6170"/>
    <cellStyle name="Normal 3 2 4 3" xfId="886"/>
    <cellStyle name="Normal 3 2 4 3 2" xfId="2287"/>
    <cellStyle name="Normal 3 2 4 3 2 2" xfId="5097"/>
    <cellStyle name="Normal 3 2 4 3 2 2 2" xfId="10733"/>
    <cellStyle name="Normal 3 2 4 3 2 3" xfId="7923"/>
    <cellStyle name="Normal 3 2 4 3 3" xfId="3696"/>
    <cellStyle name="Normal 3 2 4 3 3 2" xfId="9332"/>
    <cellStyle name="Normal 3 2 4 3 4" xfId="6522"/>
    <cellStyle name="Normal 3 2 4 4" xfId="1591"/>
    <cellStyle name="Normal 3 2 4 4 2" xfId="4401"/>
    <cellStyle name="Normal 3 2 4 4 2 2" xfId="10037"/>
    <cellStyle name="Normal 3 2 4 4 3" xfId="7227"/>
    <cellStyle name="Normal 3 2 4 5" xfId="3000"/>
    <cellStyle name="Normal 3 2 4 5 2" xfId="8636"/>
    <cellStyle name="Normal 3 2 4 6" xfId="5826"/>
    <cellStyle name="Normal 3 2 5" xfId="362"/>
    <cellStyle name="Normal 3 2 5 2" xfId="1058"/>
    <cellStyle name="Normal 3 2 5 2 2" xfId="2459"/>
    <cellStyle name="Normal 3 2 5 2 2 2" xfId="5269"/>
    <cellStyle name="Normal 3 2 5 2 2 2 2" xfId="10905"/>
    <cellStyle name="Normal 3 2 5 2 2 3" xfId="8095"/>
    <cellStyle name="Normal 3 2 5 2 3" xfId="3868"/>
    <cellStyle name="Normal 3 2 5 2 3 2" xfId="9504"/>
    <cellStyle name="Normal 3 2 5 2 4" xfId="6694"/>
    <cellStyle name="Normal 3 2 5 3" xfId="1763"/>
    <cellStyle name="Normal 3 2 5 3 2" xfId="4573"/>
    <cellStyle name="Normal 3 2 5 3 2 2" xfId="10209"/>
    <cellStyle name="Normal 3 2 5 3 3" xfId="7399"/>
    <cellStyle name="Normal 3 2 5 4" xfId="3172"/>
    <cellStyle name="Normal 3 2 5 4 2" xfId="8808"/>
    <cellStyle name="Normal 3 2 5 5" xfId="5998"/>
    <cellStyle name="Normal 3 2 6" xfId="714"/>
    <cellStyle name="Normal 3 2 6 2" xfId="2115"/>
    <cellStyle name="Normal 3 2 6 2 2" xfId="4925"/>
    <cellStyle name="Normal 3 2 6 2 2 2" xfId="10561"/>
    <cellStyle name="Normal 3 2 6 2 3" xfId="7751"/>
    <cellStyle name="Normal 3 2 6 3" xfId="3524"/>
    <cellStyle name="Normal 3 2 6 3 2" xfId="9160"/>
    <cellStyle name="Normal 3 2 6 4" xfId="6350"/>
    <cellStyle name="Normal 3 2 7" xfId="1419"/>
    <cellStyle name="Normal 3 2 7 2" xfId="4229"/>
    <cellStyle name="Normal 3 2 7 2 2" xfId="9865"/>
    <cellStyle name="Normal 3 2 7 3" xfId="7055"/>
    <cellStyle name="Normal 3 2 8" xfId="2828"/>
    <cellStyle name="Normal 3 2 8 2" xfId="8464"/>
    <cellStyle name="Normal 3 2 9" xfId="5654"/>
    <cellStyle name="Normal 3 3" xfId="38"/>
    <cellStyle name="Normal 3 3 2" xfId="118"/>
    <cellStyle name="Normal 3 3 2 2" xfId="290"/>
    <cellStyle name="Normal 3 3 2 2 2" xfId="634"/>
    <cellStyle name="Normal 3 3 2 2 2 2" xfId="1330"/>
    <cellStyle name="Normal 3 3 2 2 2 2 2" xfId="2731"/>
    <cellStyle name="Normal 3 3 2 2 2 2 2 2" xfId="5541"/>
    <cellStyle name="Normal 3 3 2 2 2 2 2 2 2" xfId="11177"/>
    <cellStyle name="Normal 3 3 2 2 2 2 2 3" xfId="8367"/>
    <cellStyle name="Normal 3 3 2 2 2 2 3" xfId="4140"/>
    <cellStyle name="Normal 3 3 2 2 2 2 3 2" xfId="9776"/>
    <cellStyle name="Normal 3 3 2 2 2 2 4" xfId="6966"/>
    <cellStyle name="Normal 3 3 2 2 2 3" xfId="2035"/>
    <cellStyle name="Normal 3 3 2 2 2 3 2" xfId="4845"/>
    <cellStyle name="Normal 3 3 2 2 2 3 2 2" xfId="10481"/>
    <cellStyle name="Normal 3 3 2 2 2 3 3" xfId="7671"/>
    <cellStyle name="Normal 3 3 2 2 2 4" xfId="3444"/>
    <cellStyle name="Normal 3 3 2 2 2 4 2" xfId="9080"/>
    <cellStyle name="Normal 3 3 2 2 2 5" xfId="6270"/>
    <cellStyle name="Normal 3 3 2 2 3" xfId="986"/>
    <cellStyle name="Normal 3 3 2 2 3 2" xfId="2387"/>
    <cellStyle name="Normal 3 3 2 2 3 2 2" xfId="5197"/>
    <cellStyle name="Normal 3 3 2 2 3 2 2 2" xfId="10833"/>
    <cellStyle name="Normal 3 3 2 2 3 2 3" xfId="8023"/>
    <cellStyle name="Normal 3 3 2 2 3 3" xfId="3796"/>
    <cellStyle name="Normal 3 3 2 2 3 3 2" xfId="9432"/>
    <cellStyle name="Normal 3 3 2 2 3 4" xfId="6622"/>
    <cellStyle name="Normal 3 3 2 2 4" xfId="1691"/>
    <cellStyle name="Normal 3 3 2 2 4 2" xfId="4501"/>
    <cellStyle name="Normal 3 3 2 2 4 2 2" xfId="10137"/>
    <cellStyle name="Normal 3 3 2 2 4 3" xfId="7327"/>
    <cellStyle name="Normal 3 3 2 2 5" xfId="3100"/>
    <cellStyle name="Normal 3 3 2 2 5 2" xfId="8736"/>
    <cellStyle name="Normal 3 3 2 2 6" xfId="5926"/>
    <cellStyle name="Normal 3 3 2 3" xfId="462"/>
    <cellStyle name="Normal 3 3 2 3 2" xfId="1158"/>
    <cellStyle name="Normal 3 3 2 3 2 2" xfId="2559"/>
    <cellStyle name="Normal 3 3 2 3 2 2 2" xfId="5369"/>
    <cellStyle name="Normal 3 3 2 3 2 2 2 2" xfId="11005"/>
    <cellStyle name="Normal 3 3 2 3 2 2 3" xfId="8195"/>
    <cellStyle name="Normal 3 3 2 3 2 3" xfId="3968"/>
    <cellStyle name="Normal 3 3 2 3 2 3 2" xfId="9604"/>
    <cellStyle name="Normal 3 3 2 3 2 4" xfId="6794"/>
    <cellStyle name="Normal 3 3 2 3 3" xfId="1863"/>
    <cellStyle name="Normal 3 3 2 3 3 2" xfId="4673"/>
    <cellStyle name="Normal 3 3 2 3 3 2 2" xfId="10309"/>
    <cellStyle name="Normal 3 3 2 3 3 3" xfId="7499"/>
    <cellStyle name="Normal 3 3 2 3 4" xfId="3272"/>
    <cellStyle name="Normal 3 3 2 3 4 2" xfId="8908"/>
    <cellStyle name="Normal 3 3 2 3 5" xfId="6098"/>
    <cellStyle name="Normal 3 3 2 4" xfId="814"/>
    <cellStyle name="Normal 3 3 2 4 2" xfId="2215"/>
    <cellStyle name="Normal 3 3 2 4 2 2" xfId="5025"/>
    <cellStyle name="Normal 3 3 2 4 2 2 2" xfId="10661"/>
    <cellStyle name="Normal 3 3 2 4 2 3" xfId="7851"/>
    <cellStyle name="Normal 3 3 2 4 3" xfId="3624"/>
    <cellStyle name="Normal 3 3 2 4 3 2" xfId="9260"/>
    <cellStyle name="Normal 3 3 2 4 4" xfId="6450"/>
    <cellStyle name="Normal 3 3 2 5" xfId="1519"/>
    <cellStyle name="Normal 3 3 2 5 2" xfId="4329"/>
    <cellStyle name="Normal 3 3 2 5 2 2" xfId="9965"/>
    <cellStyle name="Normal 3 3 2 5 3" xfId="7155"/>
    <cellStyle name="Normal 3 3 2 6" xfId="2928"/>
    <cellStyle name="Normal 3 3 2 6 2" xfId="8564"/>
    <cellStyle name="Normal 3 3 2 7" xfId="5754"/>
    <cellStyle name="Normal 3 3 3" xfId="210"/>
    <cellStyle name="Normal 3 3 3 2" xfId="554"/>
    <cellStyle name="Normal 3 3 3 2 2" xfId="1250"/>
    <cellStyle name="Normal 3 3 3 2 2 2" xfId="2651"/>
    <cellStyle name="Normal 3 3 3 2 2 2 2" xfId="5461"/>
    <cellStyle name="Normal 3 3 3 2 2 2 2 2" xfId="11097"/>
    <cellStyle name="Normal 3 3 3 2 2 2 3" xfId="8287"/>
    <cellStyle name="Normal 3 3 3 2 2 3" xfId="4060"/>
    <cellStyle name="Normal 3 3 3 2 2 3 2" xfId="9696"/>
    <cellStyle name="Normal 3 3 3 2 2 4" xfId="6886"/>
    <cellStyle name="Normal 3 3 3 2 3" xfId="1955"/>
    <cellStyle name="Normal 3 3 3 2 3 2" xfId="4765"/>
    <cellStyle name="Normal 3 3 3 2 3 2 2" xfId="10401"/>
    <cellStyle name="Normal 3 3 3 2 3 3" xfId="7591"/>
    <cellStyle name="Normal 3 3 3 2 4" xfId="3364"/>
    <cellStyle name="Normal 3 3 3 2 4 2" xfId="9000"/>
    <cellStyle name="Normal 3 3 3 2 5" xfId="6190"/>
    <cellStyle name="Normal 3 3 3 3" xfId="906"/>
    <cellStyle name="Normal 3 3 3 3 2" xfId="2307"/>
    <cellStyle name="Normal 3 3 3 3 2 2" xfId="5117"/>
    <cellStyle name="Normal 3 3 3 3 2 2 2" xfId="10753"/>
    <cellStyle name="Normal 3 3 3 3 2 3" xfId="7943"/>
    <cellStyle name="Normal 3 3 3 3 3" xfId="3716"/>
    <cellStyle name="Normal 3 3 3 3 3 2" xfId="9352"/>
    <cellStyle name="Normal 3 3 3 3 4" xfId="6542"/>
    <cellStyle name="Normal 3 3 3 4" xfId="1611"/>
    <cellStyle name="Normal 3 3 3 4 2" xfId="4421"/>
    <cellStyle name="Normal 3 3 3 4 2 2" xfId="10057"/>
    <cellStyle name="Normal 3 3 3 4 3" xfId="7247"/>
    <cellStyle name="Normal 3 3 3 5" xfId="3020"/>
    <cellStyle name="Normal 3 3 3 5 2" xfId="8656"/>
    <cellStyle name="Normal 3 3 3 6" xfId="5846"/>
    <cellStyle name="Normal 3 3 4" xfId="382"/>
    <cellStyle name="Normal 3 3 4 2" xfId="1078"/>
    <cellStyle name="Normal 3 3 4 2 2" xfId="2479"/>
    <cellStyle name="Normal 3 3 4 2 2 2" xfId="5289"/>
    <cellStyle name="Normal 3 3 4 2 2 2 2" xfId="10925"/>
    <cellStyle name="Normal 3 3 4 2 2 3" xfId="8115"/>
    <cellStyle name="Normal 3 3 4 2 3" xfId="3888"/>
    <cellStyle name="Normal 3 3 4 2 3 2" xfId="9524"/>
    <cellStyle name="Normal 3 3 4 2 4" xfId="6714"/>
    <cellStyle name="Normal 3 3 4 3" xfId="1783"/>
    <cellStyle name="Normal 3 3 4 3 2" xfId="4593"/>
    <cellStyle name="Normal 3 3 4 3 2 2" xfId="10229"/>
    <cellStyle name="Normal 3 3 4 3 3" xfId="7419"/>
    <cellStyle name="Normal 3 3 4 4" xfId="3192"/>
    <cellStyle name="Normal 3 3 4 4 2" xfId="8828"/>
    <cellStyle name="Normal 3 3 4 5" xfId="6018"/>
    <cellStyle name="Normal 3 3 5" xfId="734"/>
    <cellStyle name="Normal 3 3 5 2" xfId="2135"/>
    <cellStyle name="Normal 3 3 5 2 2" xfId="4945"/>
    <cellStyle name="Normal 3 3 5 2 2 2" xfId="10581"/>
    <cellStyle name="Normal 3 3 5 2 3" xfId="7771"/>
    <cellStyle name="Normal 3 3 5 3" xfId="3544"/>
    <cellStyle name="Normal 3 3 5 3 2" xfId="9180"/>
    <cellStyle name="Normal 3 3 5 4" xfId="6370"/>
    <cellStyle name="Normal 3 3 6" xfId="1439"/>
    <cellStyle name="Normal 3 3 6 2" xfId="4249"/>
    <cellStyle name="Normal 3 3 6 2 2" xfId="9885"/>
    <cellStyle name="Normal 3 3 6 3" xfId="7075"/>
    <cellStyle name="Normal 3 3 7" xfId="2848"/>
    <cellStyle name="Normal 3 3 7 2" xfId="8484"/>
    <cellStyle name="Normal 3 3 8" xfId="5674"/>
    <cellStyle name="Normal 3 4" xfId="86"/>
    <cellStyle name="Normal 3 4 2" xfId="258"/>
    <cellStyle name="Normal 3 4 2 2" xfId="602"/>
    <cellStyle name="Normal 3 4 2 2 2" xfId="1298"/>
    <cellStyle name="Normal 3 4 2 2 2 2" xfId="2699"/>
    <cellStyle name="Normal 3 4 2 2 2 2 2" xfId="5509"/>
    <cellStyle name="Normal 3 4 2 2 2 2 2 2" xfId="11145"/>
    <cellStyle name="Normal 3 4 2 2 2 2 3" xfId="8335"/>
    <cellStyle name="Normal 3 4 2 2 2 3" xfId="4108"/>
    <cellStyle name="Normal 3 4 2 2 2 3 2" xfId="9744"/>
    <cellStyle name="Normal 3 4 2 2 2 4" xfId="6934"/>
    <cellStyle name="Normal 3 4 2 2 3" xfId="2003"/>
    <cellStyle name="Normal 3 4 2 2 3 2" xfId="4813"/>
    <cellStyle name="Normal 3 4 2 2 3 2 2" xfId="10449"/>
    <cellStyle name="Normal 3 4 2 2 3 3" xfId="7639"/>
    <cellStyle name="Normal 3 4 2 2 4" xfId="3412"/>
    <cellStyle name="Normal 3 4 2 2 4 2" xfId="9048"/>
    <cellStyle name="Normal 3 4 2 2 5" xfId="6238"/>
    <cellStyle name="Normal 3 4 2 3" xfId="954"/>
    <cellStyle name="Normal 3 4 2 3 2" xfId="2355"/>
    <cellStyle name="Normal 3 4 2 3 2 2" xfId="5165"/>
    <cellStyle name="Normal 3 4 2 3 2 2 2" xfId="10801"/>
    <cellStyle name="Normal 3 4 2 3 2 3" xfId="7991"/>
    <cellStyle name="Normal 3 4 2 3 3" xfId="3764"/>
    <cellStyle name="Normal 3 4 2 3 3 2" xfId="9400"/>
    <cellStyle name="Normal 3 4 2 3 4" xfId="6590"/>
    <cellStyle name="Normal 3 4 2 4" xfId="1659"/>
    <cellStyle name="Normal 3 4 2 4 2" xfId="4469"/>
    <cellStyle name="Normal 3 4 2 4 2 2" xfId="10105"/>
    <cellStyle name="Normal 3 4 2 4 3" xfId="7295"/>
    <cellStyle name="Normal 3 4 2 5" xfId="3068"/>
    <cellStyle name="Normal 3 4 2 5 2" xfId="8704"/>
    <cellStyle name="Normal 3 4 2 6" xfId="5894"/>
    <cellStyle name="Normal 3 4 3" xfId="430"/>
    <cellStyle name="Normal 3 4 3 2" xfId="1126"/>
    <cellStyle name="Normal 3 4 3 2 2" xfId="2527"/>
    <cellStyle name="Normal 3 4 3 2 2 2" xfId="5337"/>
    <cellStyle name="Normal 3 4 3 2 2 2 2" xfId="10973"/>
    <cellStyle name="Normal 3 4 3 2 2 3" xfId="8163"/>
    <cellStyle name="Normal 3 4 3 2 3" xfId="3936"/>
    <cellStyle name="Normal 3 4 3 2 3 2" xfId="9572"/>
    <cellStyle name="Normal 3 4 3 2 4" xfId="6762"/>
    <cellStyle name="Normal 3 4 3 3" xfId="1831"/>
    <cellStyle name="Normal 3 4 3 3 2" xfId="4641"/>
    <cellStyle name="Normal 3 4 3 3 2 2" xfId="10277"/>
    <cellStyle name="Normal 3 4 3 3 3" xfId="7467"/>
    <cellStyle name="Normal 3 4 3 4" xfId="3240"/>
    <cellStyle name="Normal 3 4 3 4 2" xfId="8876"/>
    <cellStyle name="Normal 3 4 3 5" xfId="6066"/>
    <cellStyle name="Normal 3 4 4" xfId="782"/>
    <cellStyle name="Normal 3 4 4 2" xfId="2183"/>
    <cellStyle name="Normal 3 4 4 2 2" xfId="4993"/>
    <cellStyle name="Normal 3 4 4 2 2 2" xfId="10629"/>
    <cellStyle name="Normal 3 4 4 2 3" xfId="7819"/>
    <cellStyle name="Normal 3 4 4 3" xfId="3592"/>
    <cellStyle name="Normal 3 4 4 3 2" xfId="9228"/>
    <cellStyle name="Normal 3 4 4 4" xfId="6418"/>
    <cellStyle name="Normal 3 4 5" xfId="1487"/>
    <cellStyle name="Normal 3 4 5 2" xfId="4297"/>
    <cellStyle name="Normal 3 4 5 2 2" xfId="9933"/>
    <cellStyle name="Normal 3 4 5 3" xfId="7123"/>
    <cellStyle name="Normal 3 4 6" xfId="2896"/>
    <cellStyle name="Normal 3 4 6 2" xfId="8532"/>
    <cellStyle name="Normal 3 4 7" xfId="5722"/>
    <cellStyle name="Normal 3 5" xfId="178"/>
    <cellStyle name="Normal 3 5 2" xfId="522"/>
    <cellStyle name="Normal 3 5 2 2" xfId="1218"/>
    <cellStyle name="Normal 3 5 2 2 2" xfId="2619"/>
    <cellStyle name="Normal 3 5 2 2 2 2" xfId="5429"/>
    <cellStyle name="Normal 3 5 2 2 2 2 2" xfId="11065"/>
    <cellStyle name="Normal 3 5 2 2 2 3" xfId="8255"/>
    <cellStyle name="Normal 3 5 2 2 3" xfId="4028"/>
    <cellStyle name="Normal 3 5 2 2 3 2" xfId="9664"/>
    <cellStyle name="Normal 3 5 2 2 4" xfId="6854"/>
    <cellStyle name="Normal 3 5 2 3" xfId="1923"/>
    <cellStyle name="Normal 3 5 2 3 2" xfId="4733"/>
    <cellStyle name="Normal 3 5 2 3 2 2" xfId="10369"/>
    <cellStyle name="Normal 3 5 2 3 3" xfId="7559"/>
    <cellStyle name="Normal 3 5 2 4" xfId="3332"/>
    <cellStyle name="Normal 3 5 2 4 2" xfId="8968"/>
    <cellStyle name="Normal 3 5 2 5" xfId="6158"/>
    <cellStyle name="Normal 3 5 3" xfId="874"/>
    <cellStyle name="Normal 3 5 3 2" xfId="2275"/>
    <cellStyle name="Normal 3 5 3 2 2" xfId="5085"/>
    <cellStyle name="Normal 3 5 3 2 2 2" xfId="10721"/>
    <cellStyle name="Normal 3 5 3 2 3" xfId="7911"/>
    <cellStyle name="Normal 3 5 3 3" xfId="3684"/>
    <cellStyle name="Normal 3 5 3 3 2" xfId="9320"/>
    <cellStyle name="Normal 3 5 3 4" xfId="6510"/>
    <cellStyle name="Normal 3 5 4" xfId="1579"/>
    <cellStyle name="Normal 3 5 4 2" xfId="4389"/>
    <cellStyle name="Normal 3 5 4 2 2" xfId="10025"/>
    <cellStyle name="Normal 3 5 4 3" xfId="7215"/>
    <cellStyle name="Normal 3 5 5" xfId="2988"/>
    <cellStyle name="Normal 3 5 5 2" xfId="8624"/>
    <cellStyle name="Normal 3 5 6" xfId="5814"/>
    <cellStyle name="Normal 3 6" xfId="350"/>
    <cellStyle name="Normal 3 6 2" xfId="1046"/>
    <cellStyle name="Normal 3 6 2 2" xfId="2447"/>
    <cellStyle name="Normal 3 6 2 2 2" xfId="5257"/>
    <cellStyle name="Normal 3 6 2 2 2 2" xfId="10893"/>
    <cellStyle name="Normal 3 6 2 2 3" xfId="8083"/>
    <cellStyle name="Normal 3 6 2 3" xfId="3856"/>
    <cellStyle name="Normal 3 6 2 3 2" xfId="9492"/>
    <cellStyle name="Normal 3 6 2 4" xfId="6682"/>
    <cellStyle name="Normal 3 6 3" xfId="1751"/>
    <cellStyle name="Normal 3 6 3 2" xfId="4561"/>
    <cellStyle name="Normal 3 6 3 2 2" xfId="10197"/>
    <cellStyle name="Normal 3 6 3 3" xfId="7387"/>
    <cellStyle name="Normal 3 6 4" xfId="3160"/>
    <cellStyle name="Normal 3 6 4 2" xfId="8796"/>
    <cellStyle name="Normal 3 6 5" xfId="5986"/>
    <cellStyle name="Normal 3 7" xfId="702"/>
    <cellStyle name="Normal 3 7 2" xfId="2103"/>
    <cellStyle name="Normal 3 7 2 2" xfId="4913"/>
    <cellStyle name="Normal 3 7 2 2 2" xfId="10549"/>
    <cellStyle name="Normal 3 7 2 3" xfId="7739"/>
    <cellStyle name="Normal 3 7 3" xfId="3512"/>
    <cellStyle name="Normal 3 7 3 2" xfId="9148"/>
    <cellStyle name="Normal 3 7 4" xfId="6338"/>
    <cellStyle name="Normal 3 8" xfId="1407"/>
    <cellStyle name="Normal 3 8 2" xfId="4217"/>
    <cellStyle name="Normal 3 8 2 2" xfId="9853"/>
    <cellStyle name="Normal 3 8 3" xfId="7043"/>
    <cellStyle name="Normal 3 9" xfId="2816"/>
    <cellStyle name="Normal 3 9 2" xfId="8452"/>
    <cellStyle name="Normal 30" xfId="692"/>
    <cellStyle name="Normal 30 2" xfId="1388"/>
    <cellStyle name="Normal 30 2 2" xfId="2789"/>
    <cellStyle name="Normal 30 2 2 2" xfId="5599"/>
    <cellStyle name="Normal 30 2 2 2 2" xfId="11235"/>
    <cellStyle name="Normal 30 2 2 3" xfId="8425"/>
    <cellStyle name="Normal 30 2 3" xfId="4198"/>
    <cellStyle name="Normal 30 2 3 2" xfId="9834"/>
    <cellStyle name="Normal 30 2 4" xfId="7024"/>
    <cellStyle name="Normal 30 3" xfId="2093"/>
    <cellStyle name="Normal 30 3 2" xfId="4903"/>
    <cellStyle name="Normal 30 3 2 2" xfId="10539"/>
    <cellStyle name="Normal 30 3 3" xfId="7729"/>
    <cellStyle name="Normal 30 4" xfId="3502"/>
    <cellStyle name="Normal 30 4 2" xfId="9138"/>
    <cellStyle name="Normal 30 5" xfId="6328"/>
    <cellStyle name="Normal 31" xfId="694"/>
    <cellStyle name="Normal 31 2" xfId="1390"/>
    <cellStyle name="Normal 31 2 2" xfId="2791"/>
    <cellStyle name="Normal 31 2 2 2" xfId="5601"/>
    <cellStyle name="Normal 31 2 2 2 2" xfId="11237"/>
    <cellStyle name="Normal 31 2 2 3" xfId="8427"/>
    <cellStyle name="Normal 31 2 3" xfId="4200"/>
    <cellStyle name="Normal 31 2 3 2" xfId="9836"/>
    <cellStyle name="Normal 31 2 4" xfId="7026"/>
    <cellStyle name="Normal 31 3" xfId="2095"/>
    <cellStyle name="Normal 31 3 2" xfId="4905"/>
    <cellStyle name="Normal 31 3 2 2" xfId="10541"/>
    <cellStyle name="Normal 31 3 3" xfId="7731"/>
    <cellStyle name="Normal 31 4" xfId="3504"/>
    <cellStyle name="Normal 31 4 2" xfId="9140"/>
    <cellStyle name="Normal 31 5" xfId="6330"/>
    <cellStyle name="Normal 32" xfId="696"/>
    <cellStyle name="Normal 32 2" xfId="2097"/>
    <cellStyle name="Normal 32 2 2" xfId="4907"/>
    <cellStyle name="Normal 32 2 2 2" xfId="10543"/>
    <cellStyle name="Normal 32 2 3" xfId="7733"/>
    <cellStyle name="Normal 32 3" xfId="3506"/>
    <cellStyle name="Normal 32 3 2" xfId="9142"/>
    <cellStyle name="Normal 32 4" xfId="6332"/>
    <cellStyle name="Normal 33" xfId="1395"/>
    <cellStyle name="Normal 33 2" xfId="2796"/>
    <cellStyle name="Normal 33 2 2" xfId="5606"/>
    <cellStyle name="Normal 33 2 2 2" xfId="11242"/>
    <cellStyle name="Normal 33 2 3" xfId="8432"/>
    <cellStyle name="Normal 33 3" xfId="4205"/>
    <cellStyle name="Normal 33 3 2" xfId="9841"/>
    <cellStyle name="Normal 33 4" xfId="7031"/>
    <cellStyle name="Normal 34" xfId="1397"/>
    <cellStyle name="Normal 34 2" xfId="2798"/>
    <cellStyle name="Normal 34 2 2" xfId="5608"/>
    <cellStyle name="Normal 34 2 2 2" xfId="11244"/>
    <cellStyle name="Normal 34 2 3" xfId="8434"/>
    <cellStyle name="Normal 34 3" xfId="4207"/>
    <cellStyle name="Normal 34 3 2" xfId="9843"/>
    <cellStyle name="Normal 34 4" xfId="7033"/>
    <cellStyle name="Normal 35" xfId="1399"/>
    <cellStyle name="Normal 35 2" xfId="2800"/>
    <cellStyle name="Normal 35 2 2" xfId="5610"/>
    <cellStyle name="Normal 35 2 2 2" xfId="11246"/>
    <cellStyle name="Normal 35 2 3" xfId="8436"/>
    <cellStyle name="Normal 35 3" xfId="4209"/>
    <cellStyle name="Normal 35 3 2" xfId="9845"/>
    <cellStyle name="Normal 35 4" xfId="7035"/>
    <cellStyle name="Normal 36" xfId="1401"/>
    <cellStyle name="Normal 36 2" xfId="4211"/>
    <cellStyle name="Normal 36 2 2" xfId="9847"/>
    <cellStyle name="Normal 36 3" xfId="7037"/>
    <cellStyle name="Normal 37" xfId="2805"/>
    <cellStyle name="Normal 37 2" xfId="5615"/>
    <cellStyle name="Normal 37 2 2" xfId="11251"/>
    <cellStyle name="Normal 37 3" xfId="8441"/>
    <cellStyle name="Normal 38" xfId="2807"/>
    <cellStyle name="Normal 38 2" xfId="5617"/>
    <cellStyle name="Normal 38 2 2" xfId="11253"/>
    <cellStyle name="Normal 38 3" xfId="8443"/>
    <cellStyle name="Normal 39" xfId="2809"/>
    <cellStyle name="Normal 39 2" xfId="5619"/>
    <cellStyle name="Normal 39 2 2" xfId="11255"/>
    <cellStyle name="Normal 39 3" xfId="8445"/>
    <cellStyle name="Normal 4" xfId="8"/>
    <cellStyle name="Normal 4 10" xfId="5644"/>
    <cellStyle name="Normal 4 2" xfId="20"/>
    <cellStyle name="Normal 4 2 2" xfId="52"/>
    <cellStyle name="Normal 4 2 2 2" xfId="132"/>
    <cellStyle name="Normal 4 2 2 2 2" xfId="304"/>
    <cellStyle name="Normal 4 2 2 2 2 2" xfId="648"/>
    <cellStyle name="Normal 4 2 2 2 2 2 2" xfId="1344"/>
    <cellStyle name="Normal 4 2 2 2 2 2 2 2" xfId="2745"/>
    <cellStyle name="Normal 4 2 2 2 2 2 2 2 2" xfId="5555"/>
    <cellStyle name="Normal 4 2 2 2 2 2 2 2 2 2" xfId="11191"/>
    <cellStyle name="Normal 4 2 2 2 2 2 2 2 3" xfId="8381"/>
    <cellStyle name="Normal 4 2 2 2 2 2 2 3" xfId="4154"/>
    <cellStyle name="Normal 4 2 2 2 2 2 2 3 2" xfId="9790"/>
    <cellStyle name="Normal 4 2 2 2 2 2 2 4" xfId="6980"/>
    <cellStyle name="Normal 4 2 2 2 2 2 3" xfId="2049"/>
    <cellStyle name="Normal 4 2 2 2 2 2 3 2" xfId="4859"/>
    <cellStyle name="Normal 4 2 2 2 2 2 3 2 2" xfId="10495"/>
    <cellStyle name="Normal 4 2 2 2 2 2 3 3" xfId="7685"/>
    <cellStyle name="Normal 4 2 2 2 2 2 4" xfId="3458"/>
    <cellStyle name="Normal 4 2 2 2 2 2 4 2" xfId="9094"/>
    <cellStyle name="Normal 4 2 2 2 2 2 5" xfId="6284"/>
    <cellStyle name="Normal 4 2 2 2 2 3" xfId="1000"/>
    <cellStyle name="Normal 4 2 2 2 2 3 2" xfId="2401"/>
    <cellStyle name="Normal 4 2 2 2 2 3 2 2" xfId="5211"/>
    <cellStyle name="Normal 4 2 2 2 2 3 2 2 2" xfId="10847"/>
    <cellStyle name="Normal 4 2 2 2 2 3 2 3" xfId="8037"/>
    <cellStyle name="Normal 4 2 2 2 2 3 3" xfId="3810"/>
    <cellStyle name="Normal 4 2 2 2 2 3 3 2" xfId="9446"/>
    <cellStyle name="Normal 4 2 2 2 2 3 4" xfId="6636"/>
    <cellStyle name="Normal 4 2 2 2 2 4" xfId="1705"/>
    <cellStyle name="Normal 4 2 2 2 2 4 2" xfId="4515"/>
    <cellStyle name="Normal 4 2 2 2 2 4 2 2" xfId="10151"/>
    <cellStyle name="Normal 4 2 2 2 2 4 3" xfId="7341"/>
    <cellStyle name="Normal 4 2 2 2 2 5" xfId="3114"/>
    <cellStyle name="Normal 4 2 2 2 2 5 2" xfId="8750"/>
    <cellStyle name="Normal 4 2 2 2 2 6" xfId="5940"/>
    <cellStyle name="Normal 4 2 2 2 3" xfId="476"/>
    <cellStyle name="Normal 4 2 2 2 3 2" xfId="1172"/>
    <cellStyle name="Normal 4 2 2 2 3 2 2" xfId="2573"/>
    <cellStyle name="Normal 4 2 2 2 3 2 2 2" xfId="5383"/>
    <cellStyle name="Normal 4 2 2 2 3 2 2 2 2" xfId="11019"/>
    <cellStyle name="Normal 4 2 2 2 3 2 2 3" xfId="8209"/>
    <cellStyle name="Normal 4 2 2 2 3 2 3" xfId="3982"/>
    <cellStyle name="Normal 4 2 2 2 3 2 3 2" xfId="9618"/>
    <cellStyle name="Normal 4 2 2 2 3 2 4" xfId="6808"/>
    <cellStyle name="Normal 4 2 2 2 3 3" xfId="1877"/>
    <cellStyle name="Normal 4 2 2 2 3 3 2" xfId="4687"/>
    <cellStyle name="Normal 4 2 2 2 3 3 2 2" xfId="10323"/>
    <cellStyle name="Normal 4 2 2 2 3 3 3" xfId="7513"/>
    <cellStyle name="Normal 4 2 2 2 3 4" xfId="3286"/>
    <cellStyle name="Normal 4 2 2 2 3 4 2" xfId="8922"/>
    <cellStyle name="Normal 4 2 2 2 3 5" xfId="6112"/>
    <cellStyle name="Normal 4 2 2 2 4" xfId="828"/>
    <cellStyle name="Normal 4 2 2 2 4 2" xfId="2229"/>
    <cellStyle name="Normal 4 2 2 2 4 2 2" xfId="5039"/>
    <cellStyle name="Normal 4 2 2 2 4 2 2 2" xfId="10675"/>
    <cellStyle name="Normal 4 2 2 2 4 2 3" xfId="7865"/>
    <cellStyle name="Normal 4 2 2 2 4 3" xfId="3638"/>
    <cellStyle name="Normal 4 2 2 2 4 3 2" xfId="9274"/>
    <cellStyle name="Normal 4 2 2 2 4 4" xfId="6464"/>
    <cellStyle name="Normal 4 2 2 2 5" xfId="1533"/>
    <cellStyle name="Normal 4 2 2 2 5 2" xfId="4343"/>
    <cellStyle name="Normal 4 2 2 2 5 2 2" xfId="9979"/>
    <cellStyle name="Normal 4 2 2 2 5 3" xfId="7169"/>
    <cellStyle name="Normal 4 2 2 2 6" xfId="2942"/>
    <cellStyle name="Normal 4 2 2 2 6 2" xfId="8578"/>
    <cellStyle name="Normal 4 2 2 2 7" xfId="5768"/>
    <cellStyle name="Normal 4 2 2 3" xfId="224"/>
    <cellStyle name="Normal 4 2 2 3 2" xfId="568"/>
    <cellStyle name="Normal 4 2 2 3 2 2" xfId="1264"/>
    <cellStyle name="Normal 4 2 2 3 2 2 2" xfId="2665"/>
    <cellStyle name="Normal 4 2 2 3 2 2 2 2" xfId="5475"/>
    <cellStyle name="Normal 4 2 2 3 2 2 2 2 2" xfId="11111"/>
    <cellStyle name="Normal 4 2 2 3 2 2 2 3" xfId="8301"/>
    <cellStyle name="Normal 4 2 2 3 2 2 3" xfId="4074"/>
    <cellStyle name="Normal 4 2 2 3 2 2 3 2" xfId="9710"/>
    <cellStyle name="Normal 4 2 2 3 2 2 4" xfId="6900"/>
    <cellStyle name="Normal 4 2 2 3 2 3" xfId="1969"/>
    <cellStyle name="Normal 4 2 2 3 2 3 2" xfId="4779"/>
    <cellStyle name="Normal 4 2 2 3 2 3 2 2" xfId="10415"/>
    <cellStyle name="Normal 4 2 2 3 2 3 3" xfId="7605"/>
    <cellStyle name="Normal 4 2 2 3 2 4" xfId="3378"/>
    <cellStyle name="Normal 4 2 2 3 2 4 2" xfId="9014"/>
    <cellStyle name="Normal 4 2 2 3 2 5" xfId="6204"/>
    <cellStyle name="Normal 4 2 2 3 3" xfId="920"/>
    <cellStyle name="Normal 4 2 2 3 3 2" xfId="2321"/>
    <cellStyle name="Normal 4 2 2 3 3 2 2" xfId="5131"/>
    <cellStyle name="Normal 4 2 2 3 3 2 2 2" xfId="10767"/>
    <cellStyle name="Normal 4 2 2 3 3 2 3" xfId="7957"/>
    <cellStyle name="Normal 4 2 2 3 3 3" xfId="3730"/>
    <cellStyle name="Normal 4 2 2 3 3 3 2" xfId="9366"/>
    <cellStyle name="Normal 4 2 2 3 3 4" xfId="6556"/>
    <cellStyle name="Normal 4 2 2 3 4" xfId="1625"/>
    <cellStyle name="Normal 4 2 2 3 4 2" xfId="4435"/>
    <cellStyle name="Normal 4 2 2 3 4 2 2" xfId="10071"/>
    <cellStyle name="Normal 4 2 2 3 4 3" xfId="7261"/>
    <cellStyle name="Normal 4 2 2 3 5" xfId="3034"/>
    <cellStyle name="Normal 4 2 2 3 5 2" xfId="8670"/>
    <cellStyle name="Normal 4 2 2 3 6" xfId="5860"/>
    <cellStyle name="Normal 4 2 2 4" xfId="396"/>
    <cellStyle name="Normal 4 2 2 4 2" xfId="1092"/>
    <cellStyle name="Normal 4 2 2 4 2 2" xfId="2493"/>
    <cellStyle name="Normal 4 2 2 4 2 2 2" xfId="5303"/>
    <cellStyle name="Normal 4 2 2 4 2 2 2 2" xfId="10939"/>
    <cellStyle name="Normal 4 2 2 4 2 2 3" xfId="8129"/>
    <cellStyle name="Normal 4 2 2 4 2 3" xfId="3902"/>
    <cellStyle name="Normal 4 2 2 4 2 3 2" xfId="9538"/>
    <cellStyle name="Normal 4 2 2 4 2 4" xfId="6728"/>
    <cellStyle name="Normal 4 2 2 4 3" xfId="1797"/>
    <cellStyle name="Normal 4 2 2 4 3 2" xfId="4607"/>
    <cellStyle name="Normal 4 2 2 4 3 2 2" xfId="10243"/>
    <cellStyle name="Normal 4 2 2 4 3 3" xfId="7433"/>
    <cellStyle name="Normal 4 2 2 4 4" xfId="3206"/>
    <cellStyle name="Normal 4 2 2 4 4 2" xfId="8842"/>
    <cellStyle name="Normal 4 2 2 4 5" xfId="6032"/>
    <cellStyle name="Normal 4 2 2 5" xfId="748"/>
    <cellStyle name="Normal 4 2 2 5 2" xfId="2149"/>
    <cellStyle name="Normal 4 2 2 5 2 2" xfId="4959"/>
    <cellStyle name="Normal 4 2 2 5 2 2 2" xfId="10595"/>
    <cellStyle name="Normal 4 2 2 5 2 3" xfId="7785"/>
    <cellStyle name="Normal 4 2 2 5 3" xfId="3558"/>
    <cellStyle name="Normal 4 2 2 5 3 2" xfId="9194"/>
    <cellStyle name="Normal 4 2 2 5 4" xfId="6384"/>
    <cellStyle name="Normal 4 2 2 6" xfId="1453"/>
    <cellStyle name="Normal 4 2 2 6 2" xfId="4263"/>
    <cellStyle name="Normal 4 2 2 6 2 2" xfId="9899"/>
    <cellStyle name="Normal 4 2 2 6 3" xfId="7089"/>
    <cellStyle name="Normal 4 2 2 7" xfId="2862"/>
    <cellStyle name="Normal 4 2 2 7 2" xfId="8498"/>
    <cellStyle name="Normal 4 2 2 8" xfId="5688"/>
    <cellStyle name="Normal 4 2 3" xfId="100"/>
    <cellStyle name="Normal 4 2 3 2" xfId="272"/>
    <cellStyle name="Normal 4 2 3 2 2" xfId="616"/>
    <cellStyle name="Normal 4 2 3 2 2 2" xfId="1312"/>
    <cellStyle name="Normal 4 2 3 2 2 2 2" xfId="2713"/>
    <cellStyle name="Normal 4 2 3 2 2 2 2 2" xfId="5523"/>
    <cellStyle name="Normal 4 2 3 2 2 2 2 2 2" xfId="11159"/>
    <cellStyle name="Normal 4 2 3 2 2 2 2 3" xfId="8349"/>
    <cellStyle name="Normal 4 2 3 2 2 2 3" xfId="4122"/>
    <cellStyle name="Normal 4 2 3 2 2 2 3 2" xfId="9758"/>
    <cellStyle name="Normal 4 2 3 2 2 2 4" xfId="6948"/>
    <cellStyle name="Normal 4 2 3 2 2 3" xfId="2017"/>
    <cellStyle name="Normal 4 2 3 2 2 3 2" xfId="4827"/>
    <cellStyle name="Normal 4 2 3 2 2 3 2 2" xfId="10463"/>
    <cellStyle name="Normal 4 2 3 2 2 3 3" xfId="7653"/>
    <cellStyle name="Normal 4 2 3 2 2 4" xfId="3426"/>
    <cellStyle name="Normal 4 2 3 2 2 4 2" xfId="9062"/>
    <cellStyle name="Normal 4 2 3 2 2 5" xfId="6252"/>
    <cellStyle name="Normal 4 2 3 2 3" xfId="968"/>
    <cellStyle name="Normal 4 2 3 2 3 2" xfId="2369"/>
    <cellStyle name="Normal 4 2 3 2 3 2 2" xfId="5179"/>
    <cellStyle name="Normal 4 2 3 2 3 2 2 2" xfId="10815"/>
    <cellStyle name="Normal 4 2 3 2 3 2 3" xfId="8005"/>
    <cellStyle name="Normal 4 2 3 2 3 3" xfId="3778"/>
    <cellStyle name="Normal 4 2 3 2 3 3 2" xfId="9414"/>
    <cellStyle name="Normal 4 2 3 2 3 4" xfId="6604"/>
    <cellStyle name="Normal 4 2 3 2 4" xfId="1673"/>
    <cellStyle name="Normal 4 2 3 2 4 2" xfId="4483"/>
    <cellStyle name="Normal 4 2 3 2 4 2 2" xfId="10119"/>
    <cellStyle name="Normal 4 2 3 2 4 3" xfId="7309"/>
    <cellStyle name="Normal 4 2 3 2 5" xfId="3082"/>
    <cellStyle name="Normal 4 2 3 2 5 2" xfId="8718"/>
    <cellStyle name="Normal 4 2 3 2 6" xfId="5908"/>
    <cellStyle name="Normal 4 2 3 3" xfId="444"/>
    <cellStyle name="Normal 4 2 3 3 2" xfId="1140"/>
    <cellStyle name="Normal 4 2 3 3 2 2" xfId="2541"/>
    <cellStyle name="Normal 4 2 3 3 2 2 2" xfId="5351"/>
    <cellStyle name="Normal 4 2 3 3 2 2 2 2" xfId="10987"/>
    <cellStyle name="Normal 4 2 3 3 2 2 3" xfId="8177"/>
    <cellStyle name="Normal 4 2 3 3 2 3" xfId="3950"/>
    <cellStyle name="Normal 4 2 3 3 2 3 2" xfId="9586"/>
    <cellStyle name="Normal 4 2 3 3 2 4" xfId="6776"/>
    <cellStyle name="Normal 4 2 3 3 3" xfId="1845"/>
    <cellStyle name="Normal 4 2 3 3 3 2" xfId="4655"/>
    <cellStyle name="Normal 4 2 3 3 3 2 2" xfId="10291"/>
    <cellStyle name="Normal 4 2 3 3 3 3" xfId="7481"/>
    <cellStyle name="Normal 4 2 3 3 4" xfId="3254"/>
    <cellStyle name="Normal 4 2 3 3 4 2" xfId="8890"/>
    <cellStyle name="Normal 4 2 3 3 5" xfId="6080"/>
    <cellStyle name="Normal 4 2 3 4" xfId="796"/>
    <cellStyle name="Normal 4 2 3 4 2" xfId="2197"/>
    <cellStyle name="Normal 4 2 3 4 2 2" xfId="5007"/>
    <cellStyle name="Normal 4 2 3 4 2 2 2" xfId="10643"/>
    <cellStyle name="Normal 4 2 3 4 2 3" xfId="7833"/>
    <cellStyle name="Normal 4 2 3 4 3" xfId="3606"/>
    <cellStyle name="Normal 4 2 3 4 3 2" xfId="9242"/>
    <cellStyle name="Normal 4 2 3 4 4" xfId="6432"/>
    <cellStyle name="Normal 4 2 3 5" xfId="1501"/>
    <cellStyle name="Normal 4 2 3 5 2" xfId="4311"/>
    <cellStyle name="Normal 4 2 3 5 2 2" xfId="9947"/>
    <cellStyle name="Normal 4 2 3 5 3" xfId="7137"/>
    <cellStyle name="Normal 4 2 3 6" xfId="2910"/>
    <cellStyle name="Normal 4 2 3 6 2" xfId="8546"/>
    <cellStyle name="Normal 4 2 3 7" xfId="5736"/>
    <cellStyle name="Normal 4 2 4" xfId="192"/>
    <cellStyle name="Normal 4 2 4 2" xfId="536"/>
    <cellStyle name="Normal 4 2 4 2 2" xfId="1232"/>
    <cellStyle name="Normal 4 2 4 2 2 2" xfId="2633"/>
    <cellStyle name="Normal 4 2 4 2 2 2 2" xfId="5443"/>
    <cellStyle name="Normal 4 2 4 2 2 2 2 2" xfId="11079"/>
    <cellStyle name="Normal 4 2 4 2 2 2 3" xfId="8269"/>
    <cellStyle name="Normal 4 2 4 2 2 3" xfId="4042"/>
    <cellStyle name="Normal 4 2 4 2 2 3 2" xfId="9678"/>
    <cellStyle name="Normal 4 2 4 2 2 4" xfId="6868"/>
    <cellStyle name="Normal 4 2 4 2 3" xfId="1937"/>
    <cellStyle name="Normal 4 2 4 2 3 2" xfId="4747"/>
    <cellStyle name="Normal 4 2 4 2 3 2 2" xfId="10383"/>
    <cellStyle name="Normal 4 2 4 2 3 3" xfId="7573"/>
    <cellStyle name="Normal 4 2 4 2 4" xfId="3346"/>
    <cellStyle name="Normal 4 2 4 2 4 2" xfId="8982"/>
    <cellStyle name="Normal 4 2 4 2 5" xfId="6172"/>
    <cellStyle name="Normal 4 2 4 3" xfId="888"/>
    <cellStyle name="Normal 4 2 4 3 2" xfId="2289"/>
    <cellStyle name="Normal 4 2 4 3 2 2" xfId="5099"/>
    <cellStyle name="Normal 4 2 4 3 2 2 2" xfId="10735"/>
    <cellStyle name="Normal 4 2 4 3 2 3" xfId="7925"/>
    <cellStyle name="Normal 4 2 4 3 3" xfId="3698"/>
    <cellStyle name="Normal 4 2 4 3 3 2" xfId="9334"/>
    <cellStyle name="Normal 4 2 4 3 4" xfId="6524"/>
    <cellStyle name="Normal 4 2 4 4" xfId="1593"/>
    <cellStyle name="Normal 4 2 4 4 2" xfId="4403"/>
    <cellStyle name="Normal 4 2 4 4 2 2" xfId="10039"/>
    <cellStyle name="Normal 4 2 4 4 3" xfId="7229"/>
    <cellStyle name="Normal 4 2 4 5" xfId="3002"/>
    <cellStyle name="Normal 4 2 4 5 2" xfId="8638"/>
    <cellStyle name="Normal 4 2 4 6" xfId="5828"/>
    <cellStyle name="Normal 4 2 5" xfId="364"/>
    <cellStyle name="Normal 4 2 5 2" xfId="1060"/>
    <cellStyle name="Normal 4 2 5 2 2" xfId="2461"/>
    <cellStyle name="Normal 4 2 5 2 2 2" xfId="5271"/>
    <cellStyle name="Normal 4 2 5 2 2 2 2" xfId="10907"/>
    <cellStyle name="Normal 4 2 5 2 2 3" xfId="8097"/>
    <cellStyle name="Normal 4 2 5 2 3" xfId="3870"/>
    <cellStyle name="Normal 4 2 5 2 3 2" xfId="9506"/>
    <cellStyle name="Normal 4 2 5 2 4" xfId="6696"/>
    <cellStyle name="Normal 4 2 5 3" xfId="1765"/>
    <cellStyle name="Normal 4 2 5 3 2" xfId="4575"/>
    <cellStyle name="Normal 4 2 5 3 2 2" xfId="10211"/>
    <cellStyle name="Normal 4 2 5 3 3" xfId="7401"/>
    <cellStyle name="Normal 4 2 5 4" xfId="3174"/>
    <cellStyle name="Normal 4 2 5 4 2" xfId="8810"/>
    <cellStyle name="Normal 4 2 5 5" xfId="6000"/>
    <cellStyle name="Normal 4 2 6" xfId="716"/>
    <cellStyle name="Normal 4 2 6 2" xfId="2117"/>
    <cellStyle name="Normal 4 2 6 2 2" xfId="4927"/>
    <cellStyle name="Normal 4 2 6 2 2 2" xfId="10563"/>
    <cellStyle name="Normal 4 2 6 2 3" xfId="7753"/>
    <cellStyle name="Normal 4 2 6 3" xfId="3526"/>
    <cellStyle name="Normal 4 2 6 3 2" xfId="9162"/>
    <cellStyle name="Normal 4 2 6 4" xfId="6352"/>
    <cellStyle name="Normal 4 2 7" xfId="1421"/>
    <cellStyle name="Normal 4 2 7 2" xfId="4231"/>
    <cellStyle name="Normal 4 2 7 2 2" xfId="9867"/>
    <cellStyle name="Normal 4 2 7 3" xfId="7057"/>
    <cellStyle name="Normal 4 2 8" xfId="2830"/>
    <cellStyle name="Normal 4 2 8 2" xfId="8466"/>
    <cellStyle name="Normal 4 2 9" xfId="5656"/>
    <cellStyle name="Normal 4 3" xfId="40"/>
    <cellStyle name="Normal 4 3 2" xfId="120"/>
    <cellStyle name="Normal 4 3 2 2" xfId="292"/>
    <cellStyle name="Normal 4 3 2 2 2" xfId="636"/>
    <cellStyle name="Normal 4 3 2 2 2 2" xfId="1332"/>
    <cellStyle name="Normal 4 3 2 2 2 2 2" xfId="2733"/>
    <cellStyle name="Normal 4 3 2 2 2 2 2 2" xfId="5543"/>
    <cellStyle name="Normal 4 3 2 2 2 2 2 2 2" xfId="11179"/>
    <cellStyle name="Normal 4 3 2 2 2 2 2 3" xfId="8369"/>
    <cellStyle name="Normal 4 3 2 2 2 2 3" xfId="4142"/>
    <cellStyle name="Normal 4 3 2 2 2 2 3 2" xfId="9778"/>
    <cellStyle name="Normal 4 3 2 2 2 2 4" xfId="6968"/>
    <cellStyle name="Normal 4 3 2 2 2 3" xfId="2037"/>
    <cellStyle name="Normal 4 3 2 2 2 3 2" xfId="4847"/>
    <cellStyle name="Normal 4 3 2 2 2 3 2 2" xfId="10483"/>
    <cellStyle name="Normal 4 3 2 2 2 3 3" xfId="7673"/>
    <cellStyle name="Normal 4 3 2 2 2 4" xfId="3446"/>
    <cellStyle name="Normal 4 3 2 2 2 4 2" xfId="9082"/>
    <cellStyle name="Normal 4 3 2 2 2 5" xfId="6272"/>
    <cellStyle name="Normal 4 3 2 2 3" xfId="988"/>
    <cellStyle name="Normal 4 3 2 2 3 2" xfId="2389"/>
    <cellStyle name="Normal 4 3 2 2 3 2 2" xfId="5199"/>
    <cellStyle name="Normal 4 3 2 2 3 2 2 2" xfId="10835"/>
    <cellStyle name="Normal 4 3 2 2 3 2 3" xfId="8025"/>
    <cellStyle name="Normal 4 3 2 2 3 3" xfId="3798"/>
    <cellStyle name="Normal 4 3 2 2 3 3 2" xfId="9434"/>
    <cellStyle name="Normal 4 3 2 2 3 4" xfId="6624"/>
    <cellStyle name="Normal 4 3 2 2 4" xfId="1693"/>
    <cellStyle name="Normal 4 3 2 2 4 2" xfId="4503"/>
    <cellStyle name="Normal 4 3 2 2 4 2 2" xfId="10139"/>
    <cellStyle name="Normal 4 3 2 2 4 3" xfId="7329"/>
    <cellStyle name="Normal 4 3 2 2 5" xfId="3102"/>
    <cellStyle name="Normal 4 3 2 2 5 2" xfId="8738"/>
    <cellStyle name="Normal 4 3 2 2 6" xfId="5928"/>
    <cellStyle name="Normal 4 3 2 3" xfId="464"/>
    <cellStyle name="Normal 4 3 2 3 2" xfId="1160"/>
    <cellStyle name="Normal 4 3 2 3 2 2" xfId="2561"/>
    <cellStyle name="Normal 4 3 2 3 2 2 2" xfId="5371"/>
    <cellStyle name="Normal 4 3 2 3 2 2 2 2" xfId="11007"/>
    <cellStyle name="Normal 4 3 2 3 2 2 3" xfId="8197"/>
    <cellStyle name="Normal 4 3 2 3 2 3" xfId="3970"/>
    <cellStyle name="Normal 4 3 2 3 2 3 2" xfId="9606"/>
    <cellStyle name="Normal 4 3 2 3 2 4" xfId="6796"/>
    <cellStyle name="Normal 4 3 2 3 3" xfId="1865"/>
    <cellStyle name="Normal 4 3 2 3 3 2" xfId="4675"/>
    <cellStyle name="Normal 4 3 2 3 3 2 2" xfId="10311"/>
    <cellStyle name="Normal 4 3 2 3 3 3" xfId="7501"/>
    <cellStyle name="Normal 4 3 2 3 4" xfId="3274"/>
    <cellStyle name="Normal 4 3 2 3 4 2" xfId="8910"/>
    <cellStyle name="Normal 4 3 2 3 5" xfId="6100"/>
    <cellStyle name="Normal 4 3 2 4" xfId="816"/>
    <cellStyle name="Normal 4 3 2 4 2" xfId="2217"/>
    <cellStyle name="Normal 4 3 2 4 2 2" xfId="5027"/>
    <cellStyle name="Normal 4 3 2 4 2 2 2" xfId="10663"/>
    <cellStyle name="Normal 4 3 2 4 2 3" xfId="7853"/>
    <cellStyle name="Normal 4 3 2 4 3" xfId="3626"/>
    <cellStyle name="Normal 4 3 2 4 3 2" xfId="9262"/>
    <cellStyle name="Normal 4 3 2 4 4" xfId="6452"/>
    <cellStyle name="Normal 4 3 2 5" xfId="1521"/>
    <cellStyle name="Normal 4 3 2 5 2" xfId="4331"/>
    <cellStyle name="Normal 4 3 2 5 2 2" xfId="9967"/>
    <cellStyle name="Normal 4 3 2 5 3" xfId="7157"/>
    <cellStyle name="Normal 4 3 2 6" xfId="2930"/>
    <cellStyle name="Normal 4 3 2 6 2" xfId="8566"/>
    <cellStyle name="Normal 4 3 2 7" xfId="5756"/>
    <cellStyle name="Normal 4 3 3" xfId="212"/>
    <cellStyle name="Normal 4 3 3 2" xfId="556"/>
    <cellStyle name="Normal 4 3 3 2 2" xfId="1252"/>
    <cellStyle name="Normal 4 3 3 2 2 2" xfId="2653"/>
    <cellStyle name="Normal 4 3 3 2 2 2 2" xfId="5463"/>
    <cellStyle name="Normal 4 3 3 2 2 2 2 2" xfId="11099"/>
    <cellStyle name="Normal 4 3 3 2 2 2 3" xfId="8289"/>
    <cellStyle name="Normal 4 3 3 2 2 3" xfId="4062"/>
    <cellStyle name="Normal 4 3 3 2 2 3 2" xfId="9698"/>
    <cellStyle name="Normal 4 3 3 2 2 4" xfId="6888"/>
    <cellStyle name="Normal 4 3 3 2 3" xfId="1957"/>
    <cellStyle name="Normal 4 3 3 2 3 2" xfId="4767"/>
    <cellStyle name="Normal 4 3 3 2 3 2 2" xfId="10403"/>
    <cellStyle name="Normal 4 3 3 2 3 3" xfId="7593"/>
    <cellStyle name="Normal 4 3 3 2 4" xfId="3366"/>
    <cellStyle name="Normal 4 3 3 2 4 2" xfId="9002"/>
    <cellStyle name="Normal 4 3 3 2 5" xfId="6192"/>
    <cellStyle name="Normal 4 3 3 3" xfId="908"/>
    <cellStyle name="Normal 4 3 3 3 2" xfId="2309"/>
    <cellStyle name="Normal 4 3 3 3 2 2" xfId="5119"/>
    <cellStyle name="Normal 4 3 3 3 2 2 2" xfId="10755"/>
    <cellStyle name="Normal 4 3 3 3 2 3" xfId="7945"/>
    <cellStyle name="Normal 4 3 3 3 3" xfId="3718"/>
    <cellStyle name="Normal 4 3 3 3 3 2" xfId="9354"/>
    <cellStyle name="Normal 4 3 3 3 4" xfId="6544"/>
    <cellStyle name="Normal 4 3 3 4" xfId="1613"/>
    <cellStyle name="Normal 4 3 3 4 2" xfId="4423"/>
    <cellStyle name="Normal 4 3 3 4 2 2" xfId="10059"/>
    <cellStyle name="Normal 4 3 3 4 3" xfId="7249"/>
    <cellStyle name="Normal 4 3 3 5" xfId="3022"/>
    <cellStyle name="Normal 4 3 3 5 2" xfId="8658"/>
    <cellStyle name="Normal 4 3 3 6" xfId="5848"/>
    <cellStyle name="Normal 4 3 4" xfId="384"/>
    <cellStyle name="Normal 4 3 4 2" xfId="1080"/>
    <cellStyle name="Normal 4 3 4 2 2" xfId="2481"/>
    <cellStyle name="Normal 4 3 4 2 2 2" xfId="5291"/>
    <cellStyle name="Normal 4 3 4 2 2 2 2" xfId="10927"/>
    <cellStyle name="Normal 4 3 4 2 2 3" xfId="8117"/>
    <cellStyle name="Normal 4 3 4 2 3" xfId="3890"/>
    <cellStyle name="Normal 4 3 4 2 3 2" xfId="9526"/>
    <cellStyle name="Normal 4 3 4 2 4" xfId="6716"/>
    <cellStyle name="Normal 4 3 4 3" xfId="1785"/>
    <cellStyle name="Normal 4 3 4 3 2" xfId="4595"/>
    <cellStyle name="Normal 4 3 4 3 2 2" xfId="10231"/>
    <cellStyle name="Normal 4 3 4 3 3" xfId="7421"/>
    <cellStyle name="Normal 4 3 4 4" xfId="3194"/>
    <cellStyle name="Normal 4 3 4 4 2" xfId="8830"/>
    <cellStyle name="Normal 4 3 4 5" xfId="6020"/>
    <cellStyle name="Normal 4 3 5" xfId="736"/>
    <cellStyle name="Normal 4 3 5 2" xfId="2137"/>
    <cellStyle name="Normal 4 3 5 2 2" xfId="4947"/>
    <cellStyle name="Normal 4 3 5 2 2 2" xfId="10583"/>
    <cellStyle name="Normal 4 3 5 2 3" xfId="7773"/>
    <cellStyle name="Normal 4 3 5 3" xfId="3546"/>
    <cellStyle name="Normal 4 3 5 3 2" xfId="9182"/>
    <cellStyle name="Normal 4 3 5 4" xfId="6372"/>
    <cellStyle name="Normal 4 3 6" xfId="1441"/>
    <cellStyle name="Normal 4 3 6 2" xfId="4251"/>
    <cellStyle name="Normal 4 3 6 2 2" xfId="9887"/>
    <cellStyle name="Normal 4 3 6 3" xfId="7077"/>
    <cellStyle name="Normal 4 3 7" xfId="2850"/>
    <cellStyle name="Normal 4 3 7 2" xfId="8486"/>
    <cellStyle name="Normal 4 3 8" xfId="5676"/>
    <cellStyle name="Normal 4 4" xfId="88"/>
    <cellStyle name="Normal 4 4 2" xfId="260"/>
    <cellStyle name="Normal 4 4 2 2" xfId="604"/>
    <cellStyle name="Normal 4 4 2 2 2" xfId="1300"/>
    <cellStyle name="Normal 4 4 2 2 2 2" xfId="2701"/>
    <cellStyle name="Normal 4 4 2 2 2 2 2" xfId="5511"/>
    <cellStyle name="Normal 4 4 2 2 2 2 2 2" xfId="11147"/>
    <cellStyle name="Normal 4 4 2 2 2 2 3" xfId="8337"/>
    <cellStyle name="Normal 4 4 2 2 2 3" xfId="4110"/>
    <cellStyle name="Normal 4 4 2 2 2 3 2" xfId="9746"/>
    <cellStyle name="Normal 4 4 2 2 2 4" xfId="6936"/>
    <cellStyle name="Normal 4 4 2 2 3" xfId="2005"/>
    <cellStyle name="Normal 4 4 2 2 3 2" xfId="4815"/>
    <cellStyle name="Normal 4 4 2 2 3 2 2" xfId="10451"/>
    <cellStyle name="Normal 4 4 2 2 3 3" xfId="7641"/>
    <cellStyle name="Normal 4 4 2 2 4" xfId="3414"/>
    <cellStyle name="Normal 4 4 2 2 4 2" xfId="9050"/>
    <cellStyle name="Normal 4 4 2 2 5" xfId="6240"/>
    <cellStyle name="Normal 4 4 2 3" xfId="956"/>
    <cellStyle name="Normal 4 4 2 3 2" xfId="2357"/>
    <cellStyle name="Normal 4 4 2 3 2 2" xfId="5167"/>
    <cellStyle name="Normal 4 4 2 3 2 2 2" xfId="10803"/>
    <cellStyle name="Normal 4 4 2 3 2 3" xfId="7993"/>
    <cellStyle name="Normal 4 4 2 3 3" xfId="3766"/>
    <cellStyle name="Normal 4 4 2 3 3 2" xfId="9402"/>
    <cellStyle name="Normal 4 4 2 3 4" xfId="6592"/>
    <cellStyle name="Normal 4 4 2 4" xfId="1661"/>
    <cellStyle name="Normal 4 4 2 4 2" xfId="4471"/>
    <cellStyle name="Normal 4 4 2 4 2 2" xfId="10107"/>
    <cellStyle name="Normal 4 4 2 4 3" xfId="7297"/>
    <cellStyle name="Normal 4 4 2 5" xfId="3070"/>
    <cellStyle name="Normal 4 4 2 5 2" xfId="8706"/>
    <cellStyle name="Normal 4 4 2 6" xfId="5896"/>
    <cellStyle name="Normal 4 4 3" xfId="432"/>
    <cellStyle name="Normal 4 4 3 2" xfId="1128"/>
    <cellStyle name="Normal 4 4 3 2 2" xfId="2529"/>
    <cellStyle name="Normal 4 4 3 2 2 2" xfId="5339"/>
    <cellStyle name="Normal 4 4 3 2 2 2 2" xfId="10975"/>
    <cellStyle name="Normal 4 4 3 2 2 3" xfId="8165"/>
    <cellStyle name="Normal 4 4 3 2 3" xfId="3938"/>
    <cellStyle name="Normal 4 4 3 2 3 2" xfId="9574"/>
    <cellStyle name="Normal 4 4 3 2 4" xfId="6764"/>
    <cellStyle name="Normal 4 4 3 3" xfId="1833"/>
    <cellStyle name="Normal 4 4 3 3 2" xfId="4643"/>
    <cellStyle name="Normal 4 4 3 3 2 2" xfId="10279"/>
    <cellStyle name="Normal 4 4 3 3 3" xfId="7469"/>
    <cellStyle name="Normal 4 4 3 4" xfId="3242"/>
    <cellStyle name="Normal 4 4 3 4 2" xfId="8878"/>
    <cellStyle name="Normal 4 4 3 5" xfId="6068"/>
    <cellStyle name="Normal 4 4 4" xfId="784"/>
    <cellStyle name="Normal 4 4 4 2" xfId="2185"/>
    <cellStyle name="Normal 4 4 4 2 2" xfId="4995"/>
    <cellStyle name="Normal 4 4 4 2 2 2" xfId="10631"/>
    <cellStyle name="Normal 4 4 4 2 3" xfId="7821"/>
    <cellStyle name="Normal 4 4 4 3" xfId="3594"/>
    <cellStyle name="Normal 4 4 4 3 2" xfId="9230"/>
    <cellStyle name="Normal 4 4 4 4" xfId="6420"/>
    <cellStyle name="Normal 4 4 5" xfId="1489"/>
    <cellStyle name="Normal 4 4 5 2" xfId="4299"/>
    <cellStyle name="Normal 4 4 5 2 2" xfId="9935"/>
    <cellStyle name="Normal 4 4 5 3" xfId="7125"/>
    <cellStyle name="Normal 4 4 6" xfId="2898"/>
    <cellStyle name="Normal 4 4 6 2" xfId="8534"/>
    <cellStyle name="Normal 4 4 7" xfId="5724"/>
    <cellStyle name="Normal 4 5" xfId="180"/>
    <cellStyle name="Normal 4 5 2" xfId="524"/>
    <cellStyle name="Normal 4 5 2 2" xfId="1220"/>
    <cellStyle name="Normal 4 5 2 2 2" xfId="2621"/>
    <cellStyle name="Normal 4 5 2 2 2 2" xfId="5431"/>
    <cellStyle name="Normal 4 5 2 2 2 2 2" xfId="11067"/>
    <cellStyle name="Normal 4 5 2 2 2 3" xfId="8257"/>
    <cellStyle name="Normal 4 5 2 2 3" xfId="4030"/>
    <cellStyle name="Normal 4 5 2 2 3 2" xfId="9666"/>
    <cellStyle name="Normal 4 5 2 2 4" xfId="6856"/>
    <cellStyle name="Normal 4 5 2 3" xfId="1925"/>
    <cellStyle name="Normal 4 5 2 3 2" xfId="4735"/>
    <cellStyle name="Normal 4 5 2 3 2 2" xfId="10371"/>
    <cellStyle name="Normal 4 5 2 3 3" xfId="7561"/>
    <cellStyle name="Normal 4 5 2 4" xfId="3334"/>
    <cellStyle name="Normal 4 5 2 4 2" xfId="8970"/>
    <cellStyle name="Normal 4 5 2 5" xfId="6160"/>
    <cellStyle name="Normal 4 5 3" xfId="876"/>
    <cellStyle name="Normal 4 5 3 2" xfId="2277"/>
    <cellStyle name="Normal 4 5 3 2 2" xfId="5087"/>
    <cellStyle name="Normal 4 5 3 2 2 2" xfId="10723"/>
    <cellStyle name="Normal 4 5 3 2 3" xfId="7913"/>
    <cellStyle name="Normal 4 5 3 3" xfId="3686"/>
    <cellStyle name="Normal 4 5 3 3 2" xfId="9322"/>
    <cellStyle name="Normal 4 5 3 4" xfId="6512"/>
    <cellStyle name="Normal 4 5 4" xfId="1581"/>
    <cellStyle name="Normal 4 5 4 2" xfId="4391"/>
    <cellStyle name="Normal 4 5 4 2 2" xfId="10027"/>
    <cellStyle name="Normal 4 5 4 3" xfId="7217"/>
    <cellStyle name="Normal 4 5 5" xfId="2990"/>
    <cellStyle name="Normal 4 5 5 2" xfId="8626"/>
    <cellStyle name="Normal 4 5 6" xfId="5816"/>
    <cellStyle name="Normal 4 6" xfId="352"/>
    <cellStyle name="Normal 4 6 2" xfId="1048"/>
    <cellStyle name="Normal 4 6 2 2" xfId="2449"/>
    <cellStyle name="Normal 4 6 2 2 2" xfId="5259"/>
    <cellStyle name="Normal 4 6 2 2 2 2" xfId="10895"/>
    <cellStyle name="Normal 4 6 2 2 3" xfId="8085"/>
    <cellStyle name="Normal 4 6 2 3" xfId="3858"/>
    <cellStyle name="Normal 4 6 2 3 2" xfId="9494"/>
    <cellStyle name="Normal 4 6 2 4" xfId="6684"/>
    <cellStyle name="Normal 4 6 3" xfId="1753"/>
    <cellStyle name="Normal 4 6 3 2" xfId="4563"/>
    <cellStyle name="Normal 4 6 3 2 2" xfId="10199"/>
    <cellStyle name="Normal 4 6 3 3" xfId="7389"/>
    <cellStyle name="Normal 4 6 4" xfId="3162"/>
    <cellStyle name="Normal 4 6 4 2" xfId="8798"/>
    <cellStyle name="Normal 4 6 5" xfId="5988"/>
    <cellStyle name="Normal 4 7" xfId="704"/>
    <cellStyle name="Normal 4 7 2" xfId="2105"/>
    <cellStyle name="Normal 4 7 2 2" xfId="4915"/>
    <cellStyle name="Normal 4 7 2 2 2" xfId="10551"/>
    <cellStyle name="Normal 4 7 2 3" xfId="7741"/>
    <cellStyle name="Normal 4 7 3" xfId="3514"/>
    <cellStyle name="Normal 4 7 3 2" xfId="9150"/>
    <cellStyle name="Normal 4 7 4" xfId="6340"/>
    <cellStyle name="Normal 4 8" xfId="1409"/>
    <cellStyle name="Normal 4 8 2" xfId="4219"/>
    <cellStyle name="Normal 4 8 2 2" xfId="9855"/>
    <cellStyle name="Normal 4 8 3" xfId="7045"/>
    <cellStyle name="Normal 4 9" xfId="2818"/>
    <cellStyle name="Normal 4 9 2" xfId="8454"/>
    <cellStyle name="Normal 40" xfId="2811"/>
    <cellStyle name="Normal 40 2" xfId="8447"/>
    <cellStyle name="Normal 41" xfId="5622"/>
    <cellStyle name="Normal 41 2" xfId="11258"/>
    <cellStyle name="Normal 42" xfId="5624"/>
    <cellStyle name="Normal 42 2" xfId="11260"/>
    <cellStyle name="Normal 43" xfId="5626"/>
    <cellStyle name="Normal 43 2" xfId="11262"/>
    <cellStyle name="Normal 44" xfId="5630"/>
    <cellStyle name="Normal 44 2" xfId="11266"/>
    <cellStyle name="Normal 45" xfId="5632"/>
    <cellStyle name="Normal 45 2" xfId="11268"/>
    <cellStyle name="Normal 46" xfId="5633"/>
    <cellStyle name="Normal 46 2" xfId="11269"/>
    <cellStyle name="Normal 47" xfId="5634"/>
    <cellStyle name="Normal 47 2" xfId="11270"/>
    <cellStyle name="Normal 48" xfId="5635"/>
    <cellStyle name="Normal 48 2" xfId="11271"/>
    <cellStyle name="Normal 49" xfId="5636"/>
    <cellStyle name="Normal 5" xfId="10"/>
    <cellStyle name="Normal 5 10" xfId="5646"/>
    <cellStyle name="Normal 5 2" xfId="22"/>
    <cellStyle name="Normal 5 2 2" xfId="54"/>
    <cellStyle name="Normal 5 2 2 2" xfId="134"/>
    <cellStyle name="Normal 5 2 2 2 2" xfId="306"/>
    <cellStyle name="Normal 5 2 2 2 2 2" xfId="650"/>
    <cellStyle name="Normal 5 2 2 2 2 2 2" xfId="1346"/>
    <cellStyle name="Normal 5 2 2 2 2 2 2 2" xfId="2747"/>
    <cellStyle name="Normal 5 2 2 2 2 2 2 2 2" xfId="5557"/>
    <cellStyle name="Normal 5 2 2 2 2 2 2 2 2 2" xfId="11193"/>
    <cellStyle name="Normal 5 2 2 2 2 2 2 2 3" xfId="8383"/>
    <cellStyle name="Normal 5 2 2 2 2 2 2 3" xfId="4156"/>
    <cellStyle name="Normal 5 2 2 2 2 2 2 3 2" xfId="9792"/>
    <cellStyle name="Normal 5 2 2 2 2 2 2 4" xfId="6982"/>
    <cellStyle name="Normal 5 2 2 2 2 2 3" xfId="2051"/>
    <cellStyle name="Normal 5 2 2 2 2 2 3 2" xfId="4861"/>
    <cellStyle name="Normal 5 2 2 2 2 2 3 2 2" xfId="10497"/>
    <cellStyle name="Normal 5 2 2 2 2 2 3 3" xfId="7687"/>
    <cellStyle name="Normal 5 2 2 2 2 2 4" xfId="3460"/>
    <cellStyle name="Normal 5 2 2 2 2 2 4 2" xfId="9096"/>
    <cellStyle name="Normal 5 2 2 2 2 2 5" xfId="6286"/>
    <cellStyle name="Normal 5 2 2 2 2 3" xfId="1002"/>
    <cellStyle name="Normal 5 2 2 2 2 3 2" xfId="2403"/>
    <cellStyle name="Normal 5 2 2 2 2 3 2 2" xfId="5213"/>
    <cellStyle name="Normal 5 2 2 2 2 3 2 2 2" xfId="10849"/>
    <cellStyle name="Normal 5 2 2 2 2 3 2 3" xfId="8039"/>
    <cellStyle name="Normal 5 2 2 2 2 3 3" xfId="3812"/>
    <cellStyle name="Normal 5 2 2 2 2 3 3 2" xfId="9448"/>
    <cellStyle name="Normal 5 2 2 2 2 3 4" xfId="6638"/>
    <cellStyle name="Normal 5 2 2 2 2 4" xfId="1707"/>
    <cellStyle name="Normal 5 2 2 2 2 4 2" xfId="4517"/>
    <cellStyle name="Normal 5 2 2 2 2 4 2 2" xfId="10153"/>
    <cellStyle name="Normal 5 2 2 2 2 4 3" xfId="7343"/>
    <cellStyle name="Normal 5 2 2 2 2 5" xfId="3116"/>
    <cellStyle name="Normal 5 2 2 2 2 5 2" xfId="8752"/>
    <cellStyle name="Normal 5 2 2 2 2 6" xfId="5942"/>
    <cellStyle name="Normal 5 2 2 2 3" xfId="478"/>
    <cellStyle name="Normal 5 2 2 2 3 2" xfId="1174"/>
    <cellStyle name="Normal 5 2 2 2 3 2 2" xfId="2575"/>
    <cellStyle name="Normal 5 2 2 2 3 2 2 2" xfId="5385"/>
    <cellStyle name="Normal 5 2 2 2 3 2 2 2 2" xfId="11021"/>
    <cellStyle name="Normal 5 2 2 2 3 2 2 3" xfId="8211"/>
    <cellStyle name="Normal 5 2 2 2 3 2 3" xfId="3984"/>
    <cellStyle name="Normal 5 2 2 2 3 2 3 2" xfId="9620"/>
    <cellStyle name="Normal 5 2 2 2 3 2 4" xfId="6810"/>
    <cellStyle name="Normal 5 2 2 2 3 3" xfId="1879"/>
    <cellStyle name="Normal 5 2 2 2 3 3 2" xfId="4689"/>
    <cellStyle name="Normal 5 2 2 2 3 3 2 2" xfId="10325"/>
    <cellStyle name="Normal 5 2 2 2 3 3 3" xfId="7515"/>
    <cellStyle name="Normal 5 2 2 2 3 4" xfId="3288"/>
    <cellStyle name="Normal 5 2 2 2 3 4 2" xfId="8924"/>
    <cellStyle name="Normal 5 2 2 2 3 5" xfId="6114"/>
    <cellStyle name="Normal 5 2 2 2 4" xfId="830"/>
    <cellStyle name="Normal 5 2 2 2 4 2" xfId="2231"/>
    <cellStyle name="Normal 5 2 2 2 4 2 2" xfId="5041"/>
    <cellStyle name="Normal 5 2 2 2 4 2 2 2" xfId="10677"/>
    <cellStyle name="Normal 5 2 2 2 4 2 3" xfId="7867"/>
    <cellStyle name="Normal 5 2 2 2 4 3" xfId="3640"/>
    <cellStyle name="Normal 5 2 2 2 4 3 2" xfId="9276"/>
    <cellStyle name="Normal 5 2 2 2 4 4" xfId="6466"/>
    <cellStyle name="Normal 5 2 2 2 5" xfId="1535"/>
    <cellStyle name="Normal 5 2 2 2 5 2" xfId="4345"/>
    <cellStyle name="Normal 5 2 2 2 5 2 2" xfId="9981"/>
    <cellStyle name="Normal 5 2 2 2 5 3" xfId="7171"/>
    <cellStyle name="Normal 5 2 2 2 6" xfId="2944"/>
    <cellStyle name="Normal 5 2 2 2 6 2" xfId="8580"/>
    <cellStyle name="Normal 5 2 2 2 7" xfId="5770"/>
    <cellStyle name="Normal 5 2 2 3" xfId="226"/>
    <cellStyle name="Normal 5 2 2 3 2" xfId="570"/>
    <cellStyle name="Normal 5 2 2 3 2 2" xfId="1266"/>
    <cellStyle name="Normal 5 2 2 3 2 2 2" xfId="2667"/>
    <cellStyle name="Normal 5 2 2 3 2 2 2 2" xfId="5477"/>
    <cellStyle name="Normal 5 2 2 3 2 2 2 2 2" xfId="11113"/>
    <cellStyle name="Normal 5 2 2 3 2 2 2 3" xfId="8303"/>
    <cellStyle name="Normal 5 2 2 3 2 2 3" xfId="4076"/>
    <cellStyle name="Normal 5 2 2 3 2 2 3 2" xfId="9712"/>
    <cellStyle name="Normal 5 2 2 3 2 2 4" xfId="6902"/>
    <cellStyle name="Normal 5 2 2 3 2 3" xfId="1971"/>
    <cellStyle name="Normal 5 2 2 3 2 3 2" xfId="4781"/>
    <cellStyle name="Normal 5 2 2 3 2 3 2 2" xfId="10417"/>
    <cellStyle name="Normal 5 2 2 3 2 3 3" xfId="7607"/>
    <cellStyle name="Normal 5 2 2 3 2 4" xfId="3380"/>
    <cellStyle name="Normal 5 2 2 3 2 4 2" xfId="9016"/>
    <cellStyle name="Normal 5 2 2 3 2 5" xfId="6206"/>
    <cellStyle name="Normal 5 2 2 3 3" xfId="922"/>
    <cellStyle name="Normal 5 2 2 3 3 2" xfId="2323"/>
    <cellStyle name="Normal 5 2 2 3 3 2 2" xfId="5133"/>
    <cellStyle name="Normal 5 2 2 3 3 2 2 2" xfId="10769"/>
    <cellStyle name="Normal 5 2 2 3 3 2 3" xfId="7959"/>
    <cellStyle name="Normal 5 2 2 3 3 3" xfId="3732"/>
    <cellStyle name="Normal 5 2 2 3 3 3 2" xfId="9368"/>
    <cellStyle name="Normal 5 2 2 3 3 4" xfId="6558"/>
    <cellStyle name="Normal 5 2 2 3 4" xfId="1627"/>
    <cellStyle name="Normal 5 2 2 3 4 2" xfId="4437"/>
    <cellStyle name="Normal 5 2 2 3 4 2 2" xfId="10073"/>
    <cellStyle name="Normal 5 2 2 3 4 3" xfId="7263"/>
    <cellStyle name="Normal 5 2 2 3 5" xfId="3036"/>
    <cellStyle name="Normal 5 2 2 3 5 2" xfId="8672"/>
    <cellStyle name="Normal 5 2 2 3 6" xfId="5862"/>
    <cellStyle name="Normal 5 2 2 4" xfId="398"/>
    <cellStyle name="Normal 5 2 2 4 2" xfId="1094"/>
    <cellStyle name="Normal 5 2 2 4 2 2" xfId="2495"/>
    <cellStyle name="Normal 5 2 2 4 2 2 2" xfId="5305"/>
    <cellStyle name="Normal 5 2 2 4 2 2 2 2" xfId="10941"/>
    <cellStyle name="Normal 5 2 2 4 2 2 3" xfId="8131"/>
    <cellStyle name="Normal 5 2 2 4 2 3" xfId="3904"/>
    <cellStyle name="Normal 5 2 2 4 2 3 2" xfId="9540"/>
    <cellStyle name="Normal 5 2 2 4 2 4" xfId="6730"/>
    <cellStyle name="Normal 5 2 2 4 3" xfId="1799"/>
    <cellStyle name="Normal 5 2 2 4 3 2" xfId="4609"/>
    <cellStyle name="Normal 5 2 2 4 3 2 2" xfId="10245"/>
    <cellStyle name="Normal 5 2 2 4 3 3" xfId="7435"/>
    <cellStyle name="Normal 5 2 2 4 4" xfId="3208"/>
    <cellStyle name="Normal 5 2 2 4 4 2" xfId="8844"/>
    <cellStyle name="Normal 5 2 2 4 5" xfId="6034"/>
    <cellStyle name="Normal 5 2 2 5" xfId="750"/>
    <cellStyle name="Normal 5 2 2 5 2" xfId="2151"/>
    <cellStyle name="Normal 5 2 2 5 2 2" xfId="4961"/>
    <cellStyle name="Normal 5 2 2 5 2 2 2" xfId="10597"/>
    <cellStyle name="Normal 5 2 2 5 2 3" xfId="7787"/>
    <cellStyle name="Normal 5 2 2 5 3" xfId="3560"/>
    <cellStyle name="Normal 5 2 2 5 3 2" xfId="9196"/>
    <cellStyle name="Normal 5 2 2 5 4" xfId="6386"/>
    <cellStyle name="Normal 5 2 2 6" xfId="1455"/>
    <cellStyle name="Normal 5 2 2 6 2" xfId="4265"/>
    <cellStyle name="Normal 5 2 2 6 2 2" xfId="9901"/>
    <cellStyle name="Normal 5 2 2 6 3" xfId="7091"/>
    <cellStyle name="Normal 5 2 2 7" xfId="2864"/>
    <cellStyle name="Normal 5 2 2 7 2" xfId="8500"/>
    <cellStyle name="Normal 5 2 2 8" xfId="5690"/>
    <cellStyle name="Normal 5 2 3" xfId="102"/>
    <cellStyle name="Normal 5 2 3 2" xfId="274"/>
    <cellStyle name="Normal 5 2 3 2 2" xfId="618"/>
    <cellStyle name="Normal 5 2 3 2 2 2" xfId="1314"/>
    <cellStyle name="Normal 5 2 3 2 2 2 2" xfId="2715"/>
    <cellStyle name="Normal 5 2 3 2 2 2 2 2" xfId="5525"/>
    <cellStyle name="Normal 5 2 3 2 2 2 2 2 2" xfId="11161"/>
    <cellStyle name="Normal 5 2 3 2 2 2 2 3" xfId="8351"/>
    <cellStyle name="Normal 5 2 3 2 2 2 3" xfId="4124"/>
    <cellStyle name="Normal 5 2 3 2 2 2 3 2" xfId="9760"/>
    <cellStyle name="Normal 5 2 3 2 2 2 4" xfId="6950"/>
    <cellStyle name="Normal 5 2 3 2 2 3" xfId="2019"/>
    <cellStyle name="Normal 5 2 3 2 2 3 2" xfId="4829"/>
    <cellStyle name="Normal 5 2 3 2 2 3 2 2" xfId="10465"/>
    <cellStyle name="Normal 5 2 3 2 2 3 3" xfId="7655"/>
    <cellStyle name="Normal 5 2 3 2 2 4" xfId="3428"/>
    <cellStyle name="Normal 5 2 3 2 2 4 2" xfId="9064"/>
    <cellStyle name="Normal 5 2 3 2 2 5" xfId="6254"/>
    <cellStyle name="Normal 5 2 3 2 3" xfId="970"/>
    <cellStyle name="Normal 5 2 3 2 3 2" xfId="2371"/>
    <cellStyle name="Normal 5 2 3 2 3 2 2" xfId="5181"/>
    <cellStyle name="Normal 5 2 3 2 3 2 2 2" xfId="10817"/>
    <cellStyle name="Normal 5 2 3 2 3 2 3" xfId="8007"/>
    <cellStyle name="Normal 5 2 3 2 3 3" xfId="3780"/>
    <cellStyle name="Normal 5 2 3 2 3 3 2" xfId="9416"/>
    <cellStyle name="Normal 5 2 3 2 3 4" xfId="6606"/>
    <cellStyle name="Normal 5 2 3 2 4" xfId="1675"/>
    <cellStyle name="Normal 5 2 3 2 4 2" xfId="4485"/>
    <cellStyle name="Normal 5 2 3 2 4 2 2" xfId="10121"/>
    <cellStyle name="Normal 5 2 3 2 4 3" xfId="7311"/>
    <cellStyle name="Normal 5 2 3 2 5" xfId="3084"/>
    <cellStyle name="Normal 5 2 3 2 5 2" xfId="8720"/>
    <cellStyle name="Normal 5 2 3 2 6" xfId="5910"/>
    <cellStyle name="Normal 5 2 3 3" xfId="446"/>
    <cellStyle name="Normal 5 2 3 3 2" xfId="1142"/>
    <cellStyle name="Normal 5 2 3 3 2 2" xfId="2543"/>
    <cellStyle name="Normal 5 2 3 3 2 2 2" xfId="5353"/>
    <cellStyle name="Normal 5 2 3 3 2 2 2 2" xfId="10989"/>
    <cellStyle name="Normal 5 2 3 3 2 2 3" xfId="8179"/>
    <cellStyle name="Normal 5 2 3 3 2 3" xfId="3952"/>
    <cellStyle name="Normal 5 2 3 3 2 3 2" xfId="9588"/>
    <cellStyle name="Normal 5 2 3 3 2 4" xfId="6778"/>
    <cellStyle name="Normal 5 2 3 3 3" xfId="1847"/>
    <cellStyle name="Normal 5 2 3 3 3 2" xfId="4657"/>
    <cellStyle name="Normal 5 2 3 3 3 2 2" xfId="10293"/>
    <cellStyle name="Normal 5 2 3 3 3 3" xfId="7483"/>
    <cellStyle name="Normal 5 2 3 3 4" xfId="3256"/>
    <cellStyle name="Normal 5 2 3 3 4 2" xfId="8892"/>
    <cellStyle name="Normal 5 2 3 3 5" xfId="6082"/>
    <cellStyle name="Normal 5 2 3 4" xfId="798"/>
    <cellStyle name="Normal 5 2 3 4 2" xfId="2199"/>
    <cellStyle name="Normal 5 2 3 4 2 2" xfId="5009"/>
    <cellStyle name="Normal 5 2 3 4 2 2 2" xfId="10645"/>
    <cellStyle name="Normal 5 2 3 4 2 3" xfId="7835"/>
    <cellStyle name="Normal 5 2 3 4 3" xfId="3608"/>
    <cellStyle name="Normal 5 2 3 4 3 2" xfId="9244"/>
    <cellStyle name="Normal 5 2 3 4 4" xfId="6434"/>
    <cellStyle name="Normal 5 2 3 5" xfId="1503"/>
    <cellStyle name="Normal 5 2 3 5 2" xfId="4313"/>
    <cellStyle name="Normal 5 2 3 5 2 2" xfId="9949"/>
    <cellStyle name="Normal 5 2 3 5 3" xfId="7139"/>
    <cellStyle name="Normal 5 2 3 6" xfId="2912"/>
    <cellStyle name="Normal 5 2 3 6 2" xfId="8548"/>
    <cellStyle name="Normal 5 2 3 7" xfId="5738"/>
    <cellStyle name="Normal 5 2 4" xfId="194"/>
    <cellStyle name="Normal 5 2 4 2" xfId="538"/>
    <cellStyle name="Normal 5 2 4 2 2" xfId="1234"/>
    <cellStyle name="Normal 5 2 4 2 2 2" xfId="2635"/>
    <cellStyle name="Normal 5 2 4 2 2 2 2" xfId="5445"/>
    <cellStyle name="Normal 5 2 4 2 2 2 2 2" xfId="11081"/>
    <cellStyle name="Normal 5 2 4 2 2 2 3" xfId="8271"/>
    <cellStyle name="Normal 5 2 4 2 2 3" xfId="4044"/>
    <cellStyle name="Normal 5 2 4 2 2 3 2" xfId="9680"/>
    <cellStyle name="Normal 5 2 4 2 2 4" xfId="6870"/>
    <cellStyle name="Normal 5 2 4 2 3" xfId="1939"/>
    <cellStyle name="Normal 5 2 4 2 3 2" xfId="4749"/>
    <cellStyle name="Normal 5 2 4 2 3 2 2" xfId="10385"/>
    <cellStyle name="Normal 5 2 4 2 3 3" xfId="7575"/>
    <cellStyle name="Normal 5 2 4 2 4" xfId="3348"/>
    <cellStyle name="Normal 5 2 4 2 4 2" xfId="8984"/>
    <cellStyle name="Normal 5 2 4 2 5" xfId="6174"/>
    <cellStyle name="Normal 5 2 4 3" xfId="890"/>
    <cellStyle name="Normal 5 2 4 3 2" xfId="2291"/>
    <cellStyle name="Normal 5 2 4 3 2 2" xfId="5101"/>
    <cellStyle name="Normal 5 2 4 3 2 2 2" xfId="10737"/>
    <cellStyle name="Normal 5 2 4 3 2 3" xfId="7927"/>
    <cellStyle name="Normal 5 2 4 3 3" xfId="3700"/>
    <cellStyle name="Normal 5 2 4 3 3 2" xfId="9336"/>
    <cellStyle name="Normal 5 2 4 3 4" xfId="6526"/>
    <cellStyle name="Normal 5 2 4 4" xfId="1595"/>
    <cellStyle name="Normal 5 2 4 4 2" xfId="4405"/>
    <cellStyle name="Normal 5 2 4 4 2 2" xfId="10041"/>
    <cellStyle name="Normal 5 2 4 4 3" xfId="7231"/>
    <cellStyle name="Normal 5 2 4 5" xfId="3004"/>
    <cellStyle name="Normal 5 2 4 5 2" xfId="8640"/>
    <cellStyle name="Normal 5 2 4 6" xfId="5830"/>
    <cellStyle name="Normal 5 2 5" xfId="366"/>
    <cellStyle name="Normal 5 2 5 2" xfId="1062"/>
    <cellStyle name="Normal 5 2 5 2 2" xfId="2463"/>
    <cellStyle name="Normal 5 2 5 2 2 2" xfId="5273"/>
    <cellStyle name="Normal 5 2 5 2 2 2 2" xfId="10909"/>
    <cellStyle name="Normal 5 2 5 2 2 3" xfId="8099"/>
    <cellStyle name="Normal 5 2 5 2 3" xfId="3872"/>
    <cellStyle name="Normal 5 2 5 2 3 2" xfId="9508"/>
    <cellStyle name="Normal 5 2 5 2 4" xfId="6698"/>
    <cellStyle name="Normal 5 2 5 3" xfId="1767"/>
    <cellStyle name="Normal 5 2 5 3 2" xfId="4577"/>
    <cellStyle name="Normal 5 2 5 3 2 2" xfId="10213"/>
    <cellStyle name="Normal 5 2 5 3 3" xfId="7403"/>
    <cellStyle name="Normal 5 2 5 4" xfId="3176"/>
    <cellStyle name="Normal 5 2 5 4 2" xfId="8812"/>
    <cellStyle name="Normal 5 2 5 5" xfId="6002"/>
    <cellStyle name="Normal 5 2 6" xfId="718"/>
    <cellStyle name="Normal 5 2 6 2" xfId="2119"/>
    <cellStyle name="Normal 5 2 6 2 2" xfId="4929"/>
    <cellStyle name="Normal 5 2 6 2 2 2" xfId="10565"/>
    <cellStyle name="Normal 5 2 6 2 3" xfId="7755"/>
    <cellStyle name="Normal 5 2 6 3" xfId="3528"/>
    <cellStyle name="Normal 5 2 6 3 2" xfId="9164"/>
    <cellStyle name="Normal 5 2 6 4" xfId="6354"/>
    <cellStyle name="Normal 5 2 7" xfId="1423"/>
    <cellStyle name="Normal 5 2 7 2" xfId="4233"/>
    <cellStyle name="Normal 5 2 7 2 2" xfId="9869"/>
    <cellStyle name="Normal 5 2 7 3" xfId="7059"/>
    <cellStyle name="Normal 5 2 8" xfId="2832"/>
    <cellStyle name="Normal 5 2 8 2" xfId="8468"/>
    <cellStyle name="Normal 5 2 9" xfId="5658"/>
    <cellStyle name="Normal 5 3" xfId="42"/>
    <cellStyle name="Normal 5 3 2" xfId="122"/>
    <cellStyle name="Normal 5 3 2 2" xfId="294"/>
    <cellStyle name="Normal 5 3 2 2 2" xfId="638"/>
    <cellStyle name="Normal 5 3 2 2 2 2" xfId="1334"/>
    <cellStyle name="Normal 5 3 2 2 2 2 2" xfId="2735"/>
    <cellStyle name="Normal 5 3 2 2 2 2 2 2" xfId="5545"/>
    <cellStyle name="Normal 5 3 2 2 2 2 2 2 2" xfId="11181"/>
    <cellStyle name="Normal 5 3 2 2 2 2 2 3" xfId="8371"/>
    <cellStyle name="Normal 5 3 2 2 2 2 3" xfId="4144"/>
    <cellStyle name="Normal 5 3 2 2 2 2 3 2" xfId="9780"/>
    <cellStyle name="Normal 5 3 2 2 2 2 4" xfId="6970"/>
    <cellStyle name="Normal 5 3 2 2 2 3" xfId="2039"/>
    <cellStyle name="Normal 5 3 2 2 2 3 2" xfId="4849"/>
    <cellStyle name="Normal 5 3 2 2 2 3 2 2" xfId="10485"/>
    <cellStyle name="Normal 5 3 2 2 2 3 3" xfId="7675"/>
    <cellStyle name="Normal 5 3 2 2 2 4" xfId="3448"/>
    <cellStyle name="Normal 5 3 2 2 2 4 2" xfId="9084"/>
    <cellStyle name="Normal 5 3 2 2 2 5" xfId="6274"/>
    <cellStyle name="Normal 5 3 2 2 3" xfId="990"/>
    <cellStyle name="Normal 5 3 2 2 3 2" xfId="2391"/>
    <cellStyle name="Normal 5 3 2 2 3 2 2" xfId="5201"/>
    <cellStyle name="Normal 5 3 2 2 3 2 2 2" xfId="10837"/>
    <cellStyle name="Normal 5 3 2 2 3 2 3" xfId="8027"/>
    <cellStyle name="Normal 5 3 2 2 3 3" xfId="3800"/>
    <cellStyle name="Normal 5 3 2 2 3 3 2" xfId="9436"/>
    <cellStyle name="Normal 5 3 2 2 3 4" xfId="6626"/>
    <cellStyle name="Normal 5 3 2 2 4" xfId="1695"/>
    <cellStyle name="Normal 5 3 2 2 4 2" xfId="4505"/>
    <cellStyle name="Normal 5 3 2 2 4 2 2" xfId="10141"/>
    <cellStyle name="Normal 5 3 2 2 4 3" xfId="7331"/>
    <cellStyle name="Normal 5 3 2 2 5" xfId="3104"/>
    <cellStyle name="Normal 5 3 2 2 5 2" xfId="8740"/>
    <cellStyle name="Normal 5 3 2 2 6" xfId="5930"/>
    <cellStyle name="Normal 5 3 2 3" xfId="466"/>
    <cellStyle name="Normal 5 3 2 3 2" xfId="1162"/>
    <cellStyle name="Normal 5 3 2 3 2 2" xfId="2563"/>
    <cellStyle name="Normal 5 3 2 3 2 2 2" xfId="5373"/>
    <cellStyle name="Normal 5 3 2 3 2 2 2 2" xfId="11009"/>
    <cellStyle name="Normal 5 3 2 3 2 2 3" xfId="8199"/>
    <cellStyle name="Normal 5 3 2 3 2 3" xfId="3972"/>
    <cellStyle name="Normal 5 3 2 3 2 3 2" xfId="9608"/>
    <cellStyle name="Normal 5 3 2 3 2 4" xfId="6798"/>
    <cellStyle name="Normal 5 3 2 3 3" xfId="1867"/>
    <cellStyle name="Normal 5 3 2 3 3 2" xfId="4677"/>
    <cellStyle name="Normal 5 3 2 3 3 2 2" xfId="10313"/>
    <cellStyle name="Normal 5 3 2 3 3 3" xfId="7503"/>
    <cellStyle name="Normal 5 3 2 3 4" xfId="3276"/>
    <cellStyle name="Normal 5 3 2 3 4 2" xfId="8912"/>
    <cellStyle name="Normal 5 3 2 3 5" xfId="6102"/>
    <cellStyle name="Normal 5 3 2 4" xfId="818"/>
    <cellStyle name="Normal 5 3 2 4 2" xfId="2219"/>
    <cellStyle name="Normal 5 3 2 4 2 2" xfId="5029"/>
    <cellStyle name="Normal 5 3 2 4 2 2 2" xfId="10665"/>
    <cellStyle name="Normal 5 3 2 4 2 3" xfId="7855"/>
    <cellStyle name="Normal 5 3 2 4 3" xfId="3628"/>
    <cellStyle name="Normal 5 3 2 4 3 2" xfId="9264"/>
    <cellStyle name="Normal 5 3 2 4 4" xfId="6454"/>
    <cellStyle name="Normal 5 3 2 5" xfId="1523"/>
    <cellStyle name="Normal 5 3 2 5 2" xfId="4333"/>
    <cellStyle name="Normal 5 3 2 5 2 2" xfId="9969"/>
    <cellStyle name="Normal 5 3 2 5 3" xfId="7159"/>
    <cellStyle name="Normal 5 3 2 6" xfId="2932"/>
    <cellStyle name="Normal 5 3 2 6 2" xfId="8568"/>
    <cellStyle name="Normal 5 3 2 7" xfId="5758"/>
    <cellStyle name="Normal 5 3 3" xfId="214"/>
    <cellStyle name="Normal 5 3 3 2" xfId="558"/>
    <cellStyle name="Normal 5 3 3 2 2" xfId="1254"/>
    <cellStyle name="Normal 5 3 3 2 2 2" xfId="2655"/>
    <cellStyle name="Normal 5 3 3 2 2 2 2" xfId="5465"/>
    <cellStyle name="Normal 5 3 3 2 2 2 2 2" xfId="11101"/>
    <cellStyle name="Normal 5 3 3 2 2 2 3" xfId="8291"/>
    <cellStyle name="Normal 5 3 3 2 2 3" xfId="4064"/>
    <cellStyle name="Normal 5 3 3 2 2 3 2" xfId="9700"/>
    <cellStyle name="Normal 5 3 3 2 2 4" xfId="6890"/>
    <cellStyle name="Normal 5 3 3 2 3" xfId="1959"/>
    <cellStyle name="Normal 5 3 3 2 3 2" xfId="4769"/>
    <cellStyle name="Normal 5 3 3 2 3 2 2" xfId="10405"/>
    <cellStyle name="Normal 5 3 3 2 3 3" xfId="7595"/>
    <cellStyle name="Normal 5 3 3 2 4" xfId="3368"/>
    <cellStyle name="Normal 5 3 3 2 4 2" xfId="9004"/>
    <cellStyle name="Normal 5 3 3 2 5" xfId="6194"/>
    <cellStyle name="Normal 5 3 3 3" xfId="910"/>
    <cellStyle name="Normal 5 3 3 3 2" xfId="2311"/>
    <cellStyle name="Normal 5 3 3 3 2 2" xfId="5121"/>
    <cellStyle name="Normal 5 3 3 3 2 2 2" xfId="10757"/>
    <cellStyle name="Normal 5 3 3 3 2 3" xfId="7947"/>
    <cellStyle name="Normal 5 3 3 3 3" xfId="3720"/>
    <cellStyle name="Normal 5 3 3 3 3 2" xfId="9356"/>
    <cellStyle name="Normal 5 3 3 3 4" xfId="6546"/>
    <cellStyle name="Normal 5 3 3 4" xfId="1615"/>
    <cellStyle name="Normal 5 3 3 4 2" xfId="4425"/>
    <cellStyle name="Normal 5 3 3 4 2 2" xfId="10061"/>
    <cellStyle name="Normal 5 3 3 4 3" xfId="7251"/>
    <cellStyle name="Normal 5 3 3 5" xfId="3024"/>
    <cellStyle name="Normal 5 3 3 5 2" xfId="8660"/>
    <cellStyle name="Normal 5 3 3 6" xfId="5850"/>
    <cellStyle name="Normal 5 3 4" xfId="386"/>
    <cellStyle name="Normal 5 3 4 2" xfId="1082"/>
    <cellStyle name="Normal 5 3 4 2 2" xfId="2483"/>
    <cellStyle name="Normal 5 3 4 2 2 2" xfId="5293"/>
    <cellStyle name="Normal 5 3 4 2 2 2 2" xfId="10929"/>
    <cellStyle name="Normal 5 3 4 2 2 3" xfId="8119"/>
    <cellStyle name="Normal 5 3 4 2 3" xfId="3892"/>
    <cellStyle name="Normal 5 3 4 2 3 2" xfId="9528"/>
    <cellStyle name="Normal 5 3 4 2 4" xfId="6718"/>
    <cellStyle name="Normal 5 3 4 3" xfId="1787"/>
    <cellStyle name="Normal 5 3 4 3 2" xfId="4597"/>
    <cellStyle name="Normal 5 3 4 3 2 2" xfId="10233"/>
    <cellStyle name="Normal 5 3 4 3 3" xfId="7423"/>
    <cellStyle name="Normal 5 3 4 4" xfId="3196"/>
    <cellStyle name="Normal 5 3 4 4 2" xfId="8832"/>
    <cellStyle name="Normal 5 3 4 5" xfId="6022"/>
    <cellStyle name="Normal 5 3 5" xfId="738"/>
    <cellStyle name="Normal 5 3 5 2" xfId="2139"/>
    <cellStyle name="Normal 5 3 5 2 2" xfId="4949"/>
    <cellStyle name="Normal 5 3 5 2 2 2" xfId="10585"/>
    <cellStyle name="Normal 5 3 5 2 3" xfId="7775"/>
    <cellStyle name="Normal 5 3 5 3" xfId="3548"/>
    <cellStyle name="Normal 5 3 5 3 2" xfId="9184"/>
    <cellStyle name="Normal 5 3 5 4" xfId="6374"/>
    <cellStyle name="Normal 5 3 6" xfId="1443"/>
    <cellStyle name="Normal 5 3 6 2" xfId="4253"/>
    <cellStyle name="Normal 5 3 6 2 2" xfId="9889"/>
    <cellStyle name="Normal 5 3 6 3" xfId="7079"/>
    <cellStyle name="Normal 5 3 7" xfId="2852"/>
    <cellStyle name="Normal 5 3 7 2" xfId="8488"/>
    <cellStyle name="Normal 5 3 8" xfId="5678"/>
    <cellStyle name="Normal 5 4" xfId="90"/>
    <cellStyle name="Normal 5 4 2" xfId="262"/>
    <cellStyle name="Normal 5 4 2 2" xfId="606"/>
    <cellStyle name="Normal 5 4 2 2 2" xfId="1302"/>
    <cellStyle name="Normal 5 4 2 2 2 2" xfId="2703"/>
    <cellStyle name="Normal 5 4 2 2 2 2 2" xfId="5513"/>
    <cellStyle name="Normal 5 4 2 2 2 2 2 2" xfId="11149"/>
    <cellStyle name="Normal 5 4 2 2 2 2 3" xfId="8339"/>
    <cellStyle name="Normal 5 4 2 2 2 3" xfId="4112"/>
    <cellStyle name="Normal 5 4 2 2 2 3 2" xfId="9748"/>
    <cellStyle name="Normal 5 4 2 2 2 4" xfId="6938"/>
    <cellStyle name="Normal 5 4 2 2 3" xfId="2007"/>
    <cellStyle name="Normal 5 4 2 2 3 2" xfId="4817"/>
    <cellStyle name="Normal 5 4 2 2 3 2 2" xfId="10453"/>
    <cellStyle name="Normal 5 4 2 2 3 3" xfId="7643"/>
    <cellStyle name="Normal 5 4 2 2 4" xfId="3416"/>
    <cellStyle name="Normal 5 4 2 2 4 2" xfId="9052"/>
    <cellStyle name="Normal 5 4 2 2 5" xfId="6242"/>
    <cellStyle name="Normal 5 4 2 3" xfId="958"/>
    <cellStyle name="Normal 5 4 2 3 2" xfId="2359"/>
    <cellStyle name="Normal 5 4 2 3 2 2" xfId="5169"/>
    <cellStyle name="Normal 5 4 2 3 2 2 2" xfId="10805"/>
    <cellStyle name="Normal 5 4 2 3 2 3" xfId="7995"/>
    <cellStyle name="Normal 5 4 2 3 3" xfId="3768"/>
    <cellStyle name="Normal 5 4 2 3 3 2" xfId="9404"/>
    <cellStyle name="Normal 5 4 2 3 4" xfId="6594"/>
    <cellStyle name="Normal 5 4 2 4" xfId="1663"/>
    <cellStyle name="Normal 5 4 2 4 2" xfId="4473"/>
    <cellStyle name="Normal 5 4 2 4 2 2" xfId="10109"/>
    <cellStyle name="Normal 5 4 2 4 3" xfId="7299"/>
    <cellStyle name="Normal 5 4 2 5" xfId="3072"/>
    <cellStyle name="Normal 5 4 2 5 2" xfId="8708"/>
    <cellStyle name="Normal 5 4 2 6" xfId="5898"/>
    <cellStyle name="Normal 5 4 3" xfId="434"/>
    <cellStyle name="Normal 5 4 3 2" xfId="1130"/>
    <cellStyle name="Normal 5 4 3 2 2" xfId="2531"/>
    <cellStyle name="Normal 5 4 3 2 2 2" xfId="5341"/>
    <cellStyle name="Normal 5 4 3 2 2 2 2" xfId="10977"/>
    <cellStyle name="Normal 5 4 3 2 2 3" xfId="8167"/>
    <cellStyle name="Normal 5 4 3 2 3" xfId="3940"/>
    <cellStyle name="Normal 5 4 3 2 3 2" xfId="9576"/>
    <cellStyle name="Normal 5 4 3 2 4" xfId="6766"/>
    <cellStyle name="Normal 5 4 3 3" xfId="1835"/>
    <cellStyle name="Normal 5 4 3 3 2" xfId="4645"/>
    <cellStyle name="Normal 5 4 3 3 2 2" xfId="10281"/>
    <cellStyle name="Normal 5 4 3 3 3" xfId="7471"/>
    <cellStyle name="Normal 5 4 3 4" xfId="3244"/>
    <cellStyle name="Normal 5 4 3 4 2" xfId="8880"/>
    <cellStyle name="Normal 5 4 3 5" xfId="6070"/>
    <cellStyle name="Normal 5 4 4" xfId="786"/>
    <cellStyle name="Normal 5 4 4 2" xfId="2187"/>
    <cellStyle name="Normal 5 4 4 2 2" xfId="4997"/>
    <cellStyle name="Normal 5 4 4 2 2 2" xfId="10633"/>
    <cellStyle name="Normal 5 4 4 2 3" xfId="7823"/>
    <cellStyle name="Normal 5 4 4 3" xfId="3596"/>
    <cellStyle name="Normal 5 4 4 3 2" xfId="9232"/>
    <cellStyle name="Normal 5 4 4 4" xfId="6422"/>
    <cellStyle name="Normal 5 4 5" xfId="1491"/>
    <cellStyle name="Normal 5 4 5 2" xfId="4301"/>
    <cellStyle name="Normal 5 4 5 2 2" xfId="9937"/>
    <cellStyle name="Normal 5 4 5 3" xfId="7127"/>
    <cellStyle name="Normal 5 4 6" xfId="2900"/>
    <cellStyle name="Normal 5 4 6 2" xfId="8536"/>
    <cellStyle name="Normal 5 4 7" xfId="5726"/>
    <cellStyle name="Normal 5 5" xfId="182"/>
    <cellStyle name="Normal 5 5 2" xfId="526"/>
    <cellStyle name="Normal 5 5 2 2" xfId="1222"/>
    <cellStyle name="Normal 5 5 2 2 2" xfId="2623"/>
    <cellStyle name="Normal 5 5 2 2 2 2" xfId="5433"/>
    <cellStyle name="Normal 5 5 2 2 2 2 2" xfId="11069"/>
    <cellStyle name="Normal 5 5 2 2 2 3" xfId="8259"/>
    <cellStyle name="Normal 5 5 2 2 3" xfId="4032"/>
    <cellStyle name="Normal 5 5 2 2 3 2" xfId="9668"/>
    <cellStyle name="Normal 5 5 2 2 4" xfId="6858"/>
    <cellStyle name="Normal 5 5 2 3" xfId="1927"/>
    <cellStyle name="Normal 5 5 2 3 2" xfId="4737"/>
    <cellStyle name="Normal 5 5 2 3 2 2" xfId="10373"/>
    <cellStyle name="Normal 5 5 2 3 3" xfId="7563"/>
    <cellStyle name="Normal 5 5 2 4" xfId="3336"/>
    <cellStyle name="Normal 5 5 2 4 2" xfId="8972"/>
    <cellStyle name="Normal 5 5 2 5" xfId="6162"/>
    <cellStyle name="Normal 5 5 3" xfId="878"/>
    <cellStyle name="Normal 5 5 3 2" xfId="2279"/>
    <cellStyle name="Normal 5 5 3 2 2" xfId="5089"/>
    <cellStyle name="Normal 5 5 3 2 2 2" xfId="10725"/>
    <cellStyle name="Normal 5 5 3 2 3" xfId="7915"/>
    <cellStyle name="Normal 5 5 3 3" xfId="3688"/>
    <cellStyle name="Normal 5 5 3 3 2" xfId="9324"/>
    <cellStyle name="Normal 5 5 3 4" xfId="6514"/>
    <cellStyle name="Normal 5 5 4" xfId="1583"/>
    <cellStyle name="Normal 5 5 4 2" xfId="4393"/>
    <cellStyle name="Normal 5 5 4 2 2" xfId="10029"/>
    <cellStyle name="Normal 5 5 4 3" xfId="7219"/>
    <cellStyle name="Normal 5 5 5" xfId="2992"/>
    <cellStyle name="Normal 5 5 5 2" xfId="8628"/>
    <cellStyle name="Normal 5 5 6" xfId="5818"/>
    <cellStyle name="Normal 5 6" xfId="354"/>
    <cellStyle name="Normal 5 6 2" xfId="1050"/>
    <cellStyle name="Normal 5 6 2 2" xfId="2451"/>
    <cellStyle name="Normal 5 6 2 2 2" xfId="5261"/>
    <cellStyle name="Normal 5 6 2 2 2 2" xfId="10897"/>
    <cellStyle name="Normal 5 6 2 2 3" xfId="8087"/>
    <cellStyle name="Normal 5 6 2 3" xfId="3860"/>
    <cellStyle name="Normal 5 6 2 3 2" xfId="9496"/>
    <cellStyle name="Normal 5 6 2 4" xfId="6686"/>
    <cellStyle name="Normal 5 6 3" xfId="1755"/>
    <cellStyle name="Normal 5 6 3 2" xfId="4565"/>
    <cellStyle name="Normal 5 6 3 2 2" xfId="10201"/>
    <cellStyle name="Normal 5 6 3 3" xfId="7391"/>
    <cellStyle name="Normal 5 6 4" xfId="3164"/>
    <cellStyle name="Normal 5 6 4 2" xfId="8800"/>
    <cellStyle name="Normal 5 6 5" xfId="5990"/>
    <cellStyle name="Normal 5 7" xfId="706"/>
    <cellStyle name="Normal 5 7 2" xfId="2107"/>
    <cellStyle name="Normal 5 7 2 2" xfId="4917"/>
    <cellStyle name="Normal 5 7 2 2 2" xfId="10553"/>
    <cellStyle name="Normal 5 7 2 3" xfId="7743"/>
    <cellStyle name="Normal 5 7 3" xfId="3516"/>
    <cellStyle name="Normal 5 7 3 2" xfId="9152"/>
    <cellStyle name="Normal 5 7 4" xfId="6342"/>
    <cellStyle name="Normal 5 8" xfId="1411"/>
    <cellStyle name="Normal 5 8 2" xfId="4221"/>
    <cellStyle name="Normal 5 8 2 2" xfId="9857"/>
    <cellStyle name="Normal 5 8 3" xfId="7047"/>
    <cellStyle name="Normal 5 9" xfId="2820"/>
    <cellStyle name="Normal 5 9 2" xfId="8456"/>
    <cellStyle name="Normal 50" xfId="11273"/>
    <cellStyle name="Normal 51" xfId="11274"/>
    <cellStyle name="Normal 52" xfId="11275"/>
    <cellStyle name="Normal 53" xfId="11276"/>
    <cellStyle name="Normal 54" xfId="11277"/>
    <cellStyle name="Normal 55" xfId="11278"/>
    <cellStyle name="Normal 56" xfId="11279"/>
    <cellStyle name="Normal 57" xfId="11281"/>
    <cellStyle name="Normal 58" xfId="11282"/>
    <cellStyle name="Normal 59" xfId="11283"/>
    <cellStyle name="Normal 6" xfId="11"/>
    <cellStyle name="Normal 6 10" xfId="5647"/>
    <cellStyle name="Normal 6 2" xfId="23"/>
    <cellStyle name="Normal 6 2 2" xfId="55"/>
    <cellStyle name="Normal 6 2 2 2" xfId="135"/>
    <cellStyle name="Normal 6 2 2 2 2" xfId="307"/>
    <cellStyle name="Normal 6 2 2 2 2 2" xfId="651"/>
    <cellStyle name="Normal 6 2 2 2 2 2 2" xfId="1347"/>
    <cellStyle name="Normal 6 2 2 2 2 2 2 2" xfId="2748"/>
    <cellStyle name="Normal 6 2 2 2 2 2 2 2 2" xfId="5558"/>
    <cellStyle name="Normal 6 2 2 2 2 2 2 2 2 2" xfId="11194"/>
    <cellStyle name="Normal 6 2 2 2 2 2 2 2 3" xfId="8384"/>
    <cellStyle name="Normal 6 2 2 2 2 2 2 3" xfId="4157"/>
    <cellStyle name="Normal 6 2 2 2 2 2 2 3 2" xfId="9793"/>
    <cellStyle name="Normal 6 2 2 2 2 2 2 4" xfId="6983"/>
    <cellStyle name="Normal 6 2 2 2 2 2 3" xfId="2052"/>
    <cellStyle name="Normal 6 2 2 2 2 2 3 2" xfId="4862"/>
    <cellStyle name="Normal 6 2 2 2 2 2 3 2 2" xfId="10498"/>
    <cellStyle name="Normal 6 2 2 2 2 2 3 3" xfId="7688"/>
    <cellStyle name="Normal 6 2 2 2 2 2 4" xfId="3461"/>
    <cellStyle name="Normal 6 2 2 2 2 2 4 2" xfId="9097"/>
    <cellStyle name="Normal 6 2 2 2 2 2 5" xfId="6287"/>
    <cellStyle name="Normal 6 2 2 2 2 3" xfId="1003"/>
    <cellStyle name="Normal 6 2 2 2 2 3 2" xfId="2404"/>
    <cellStyle name="Normal 6 2 2 2 2 3 2 2" xfId="5214"/>
    <cellStyle name="Normal 6 2 2 2 2 3 2 2 2" xfId="10850"/>
    <cellStyle name="Normal 6 2 2 2 2 3 2 3" xfId="8040"/>
    <cellStyle name="Normal 6 2 2 2 2 3 3" xfId="3813"/>
    <cellStyle name="Normal 6 2 2 2 2 3 3 2" xfId="9449"/>
    <cellStyle name="Normal 6 2 2 2 2 3 4" xfId="6639"/>
    <cellStyle name="Normal 6 2 2 2 2 4" xfId="1708"/>
    <cellStyle name="Normal 6 2 2 2 2 4 2" xfId="4518"/>
    <cellStyle name="Normal 6 2 2 2 2 4 2 2" xfId="10154"/>
    <cellStyle name="Normal 6 2 2 2 2 4 3" xfId="7344"/>
    <cellStyle name="Normal 6 2 2 2 2 5" xfId="3117"/>
    <cellStyle name="Normal 6 2 2 2 2 5 2" xfId="8753"/>
    <cellStyle name="Normal 6 2 2 2 2 6" xfId="5943"/>
    <cellStyle name="Normal 6 2 2 2 3" xfId="479"/>
    <cellStyle name="Normal 6 2 2 2 3 2" xfId="1175"/>
    <cellStyle name="Normal 6 2 2 2 3 2 2" xfId="2576"/>
    <cellStyle name="Normal 6 2 2 2 3 2 2 2" xfId="5386"/>
    <cellStyle name="Normal 6 2 2 2 3 2 2 2 2" xfId="11022"/>
    <cellStyle name="Normal 6 2 2 2 3 2 2 3" xfId="8212"/>
    <cellStyle name="Normal 6 2 2 2 3 2 3" xfId="3985"/>
    <cellStyle name="Normal 6 2 2 2 3 2 3 2" xfId="9621"/>
    <cellStyle name="Normal 6 2 2 2 3 2 4" xfId="6811"/>
    <cellStyle name="Normal 6 2 2 2 3 3" xfId="1880"/>
    <cellStyle name="Normal 6 2 2 2 3 3 2" xfId="4690"/>
    <cellStyle name="Normal 6 2 2 2 3 3 2 2" xfId="10326"/>
    <cellStyle name="Normal 6 2 2 2 3 3 3" xfId="7516"/>
    <cellStyle name="Normal 6 2 2 2 3 4" xfId="3289"/>
    <cellStyle name="Normal 6 2 2 2 3 4 2" xfId="8925"/>
    <cellStyle name="Normal 6 2 2 2 3 5" xfId="6115"/>
    <cellStyle name="Normal 6 2 2 2 4" xfId="831"/>
    <cellStyle name="Normal 6 2 2 2 4 2" xfId="2232"/>
    <cellStyle name="Normal 6 2 2 2 4 2 2" xfId="5042"/>
    <cellStyle name="Normal 6 2 2 2 4 2 2 2" xfId="10678"/>
    <cellStyle name="Normal 6 2 2 2 4 2 3" xfId="7868"/>
    <cellStyle name="Normal 6 2 2 2 4 3" xfId="3641"/>
    <cellStyle name="Normal 6 2 2 2 4 3 2" xfId="9277"/>
    <cellStyle name="Normal 6 2 2 2 4 4" xfId="6467"/>
    <cellStyle name="Normal 6 2 2 2 5" xfId="1536"/>
    <cellStyle name="Normal 6 2 2 2 5 2" xfId="4346"/>
    <cellStyle name="Normal 6 2 2 2 5 2 2" xfId="9982"/>
    <cellStyle name="Normal 6 2 2 2 5 3" xfId="7172"/>
    <cellStyle name="Normal 6 2 2 2 6" xfId="2945"/>
    <cellStyle name="Normal 6 2 2 2 6 2" xfId="8581"/>
    <cellStyle name="Normal 6 2 2 2 7" xfId="5771"/>
    <cellStyle name="Normal 6 2 2 3" xfId="227"/>
    <cellStyle name="Normal 6 2 2 3 2" xfId="571"/>
    <cellStyle name="Normal 6 2 2 3 2 2" xfId="1267"/>
    <cellStyle name="Normal 6 2 2 3 2 2 2" xfId="2668"/>
    <cellStyle name="Normal 6 2 2 3 2 2 2 2" xfId="5478"/>
    <cellStyle name="Normal 6 2 2 3 2 2 2 2 2" xfId="11114"/>
    <cellStyle name="Normal 6 2 2 3 2 2 2 3" xfId="8304"/>
    <cellStyle name="Normal 6 2 2 3 2 2 3" xfId="4077"/>
    <cellStyle name="Normal 6 2 2 3 2 2 3 2" xfId="9713"/>
    <cellStyle name="Normal 6 2 2 3 2 2 4" xfId="6903"/>
    <cellStyle name="Normal 6 2 2 3 2 3" xfId="1972"/>
    <cellStyle name="Normal 6 2 2 3 2 3 2" xfId="4782"/>
    <cellStyle name="Normal 6 2 2 3 2 3 2 2" xfId="10418"/>
    <cellStyle name="Normal 6 2 2 3 2 3 3" xfId="7608"/>
    <cellStyle name="Normal 6 2 2 3 2 4" xfId="3381"/>
    <cellStyle name="Normal 6 2 2 3 2 4 2" xfId="9017"/>
    <cellStyle name="Normal 6 2 2 3 2 5" xfId="6207"/>
    <cellStyle name="Normal 6 2 2 3 3" xfId="923"/>
    <cellStyle name="Normal 6 2 2 3 3 2" xfId="2324"/>
    <cellStyle name="Normal 6 2 2 3 3 2 2" xfId="5134"/>
    <cellStyle name="Normal 6 2 2 3 3 2 2 2" xfId="10770"/>
    <cellStyle name="Normal 6 2 2 3 3 2 3" xfId="7960"/>
    <cellStyle name="Normal 6 2 2 3 3 3" xfId="3733"/>
    <cellStyle name="Normal 6 2 2 3 3 3 2" xfId="9369"/>
    <cellStyle name="Normal 6 2 2 3 3 4" xfId="6559"/>
    <cellStyle name="Normal 6 2 2 3 4" xfId="1628"/>
    <cellStyle name="Normal 6 2 2 3 4 2" xfId="4438"/>
    <cellStyle name="Normal 6 2 2 3 4 2 2" xfId="10074"/>
    <cellStyle name="Normal 6 2 2 3 4 3" xfId="7264"/>
    <cellStyle name="Normal 6 2 2 3 5" xfId="3037"/>
    <cellStyle name="Normal 6 2 2 3 5 2" xfId="8673"/>
    <cellStyle name="Normal 6 2 2 3 6" xfId="5863"/>
    <cellStyle name="Normal 6 2 2 4" xfId="399"/>
    <cellStyle name="Normal 6 2 2 4 2" xfId="1095"/>
    <cellStyle name="Normal 6 2 2 4 2 2" xfId="2496"/>
    <cellStyle name="Normal 6 2 2 4 2 2 2" xfId="5306"/>
    <cellStyle name="Normal 6 2 2 4 2 2 2 2" xfId="10942"/>
    <cellStyle name="Normal 6 2 2 4 2 2 3" xfId="8132"/>
    <cellStyle name="Normal 6 2 2 4 2 3" xfId="3905"/>
    <cellStyle name="Normal 6 2 2 4 2 3 2" xfId="9541"/>
    <cellStyle name="Normal 6 2 2 4 2 4" xfId="6731"/>
    <cellStyle name="Normal 6 2 2 4 3" xfId="1800"/>
    <cellStyle name="Normal 6 2 2 4 3 2" xfId="4610"/>
    <cellStyle name="Normal 6 2 2 4 3 2 2" xfId="10246"/>
    <cellStyle name="Normal 6 2 2 4 3 3" xfId="7436"/>
    <cellStyle name="Normal 6 2 2 4 4" xfId="3209"/>
    <cellStyle name="Normal 6 2 2 4 4 2" xfId="8845"/>
    <cellStyle name="Normal 6 2 2 4 5" xfId="6035"/>
    <cellStyle name="Normal 6 2 2 5" xfId="751"/>
    <cellStyle name="Normal 6 2 2 5 2" xfId="2152"/>
    <cellStyle name="Normal 6 2 2 5 2 2" xfId="4962"/>
    <cellStyle name="Normal 6 2 2 5 2 2 2" xfId="10598"/>
    <cellStyle name="Normal 6 2 2 5 2 3" xfId="7788"/>
    <cellStyle name="Normal 6 2 2 5 3" xfId="3561"/>
    <cellStyle name="Normal 6 2 2 5 3 2" xfId="9197"/>
    <cellStyle name="Normal 6 2 2 5 4" xfId="6387"/>
    <cellStyle name="Normal 6 2 2 6" xfId="1456"/>
    <cellStyle name="Normal 6 2 2 6 2" xfId="4266"/>
    <cellStyle name="Normal 6 2 2 6 2 2" xfId="9902"/>
    <cellStyle name="Normal 6 2 2 6 3" xfId="7092"/>
    <cellStyle name="Normal 6 2 2 7" xfId="2865"/>
    <cellStyle name="Normal 6 2 2 7 2" xfId="8501"/>
    <cellStyle name="Normal 6 2 2 8" xfId="5691"/>
    <cellStyle name="Normal 6 2 3" xfId="103"/>
    <cellStyle name="Normal 6 2 3 2" xfId="275"/>
    <cellStyle name="Normal 6 2 3 2 2" xfId="619"/>
    <cellStyle name="Normal 6 2 3 2 2 2" xfId="1315"/>
    <cellStyle name="Normal 6 2 3 2 2 2 2" xfId="2716"/>
    <cellStyle name="Normal 6 2 3 2 2 2 2 2" xfId="5526"/>
    <cellStyle name="Normal 6 2 3 2 2 2 2 2 2" xfId="11162"/>
    <cellStyle name="Normal 6 2 3 2 2 2 2 3" xfId="8352"/>
    <cellStyle name="Normal 6 2 3 2 2 2 3" xfId="4125"/>
    <cellStyle name="Normal 6 2 3 2 2 2 3 2" xfId="9761"/>
    <cellStyle name="Normal 6 2 3 2 2 2 4" xfId="6951"/>
    <cellStyle name="Normal 6 2 3 2 2 3" xfId="2020"/>
    <cellStyle name="Normal 6 2 3 2 2 3 2" xfId="4830"/>
    <cellStyle name="Normal 6 2 3 2 2 3 2 2" xfId="10466"/>
    <cellStyle name="Normal 6 2 3 2 2 3 3" xfId="7656"/>
    <cellStyle name="Normal 6 2 3 2 2 4" xfId="3429"/>
    <cellStyle name="Normal 6 2 3 2 2 4 2" xfId="9065"/>
    <cellStyle name="Normal 6 2 3 2 2 5" xfId="6255"/>
    <cellStyle name="Normal 6 2 3 2 3" xfId="971"/>
    <cellStyle name="Normal 6 2 3 2 3 2" xfId="2372"/>
    <cellStyle name="Normal 6 2 3 2 3 2 2" xfId="5182"/>
    <cellStyle name="Normal 6 2 3 2 3 2 2 2" xfId="10818"/>
    <cellStyle name="Normal 6 2 3 2 3 2 3" xfId="8008"/>
    <cellStyle name="Normal 6 2 3 2 3 3" xfId="3781"/>
    <cellStyle name="Normal 6 2 3 2 3 3 2" xfId="9417"/>
    <cellStyle name="Normal 6 2 3 2 3 4" xfId="6607"/>
    <cellStyle name="Normal 6 2 3 2 4" xfId="1676"/>
    <cellStyle name="Normal 6 2 3 2 4 2" xfId="4486"/>
    <cellStyle name="Normal 6 2 3 2 4 2 2" xfId="10122"/>
    <cellStyle name="Normal 6 2 3 2 4 3" xfId="7312"/>
    <cellStyle name="Normal 6 2 3 2 5" xfId="3085"/>
    <cellStyle name="Normal 6 2 3 2 5 2" xfId="8721"/>
    <cellStyle name="Normal 6 2 3 2 6" xfId="5911"/>
    <cellStyle name="Normal 6 2 3 3" xfId="447"/>
    <cellStyle name="Normal 6 2 3 3 2" xfId="1143"/>
    <cellStyle name="Normal 6 2 3 3 2 2" xfId="2544"/>
    <cellStyle name="Normal 6 2 3 3 2 2 2" xfId="5354"/>
    <cellStyle name="Normal 6 2 3 3 2 2 2 2" xfId="10990"/>
    <cellStyle name="Normal 6 2 3 3 2 2 3" xfId="8180"/>
    <cellStyle name="Normal 6 2 3 3 2 3" xfId="3953"/>
    <cellStyle name="Normal 6 2 3 3 2 3 2" xfId="9589"/>
    <cellStyle name="Normal 6 2 3 3 2 4" xfId="6779"/>
    <cellStyle name="Normal 6 2 3 3 3" xfId="1848"/>
    <cellStyle name="Normal 6 2 3 3 3 2" xfId="4658"/>
    <cellStyle name="Normal 6 2 3 3 3 2 2" xfId="10294"/>
    <cellStyle name="Normal 6 2 3 3 3 3" xfId="7484"/>
    <cellStyle name="Normal 6 2 3 3 4" xfId="3257"/>
    <cellStyle name="Normal 6 2 3 3 4 2" xfId="8893"/>
    <cellStyle name="Normal 6 2 3 3 5" xfId="6083"/>
    <cellStyle name="Normal 6 2 3 4" xfId="799"/>
    <cellStyle name="Normal 6 2 3 4 2" xfId="2200"/>
    <cellStyle name="Normal 6 2 3 4 2 2" xfId="5010"/>
    <cellStyle name="Normal 6 2 3 4 2 2 2" xfId="10646"/>
    <cellStyle name="Normal 6 2 3 4 2 3" xfId="7836"/>
    <cellStyle name="Normal 6 2 3 4 3" xfId="3609"/>
    <cellStyle name="Normal 6 2 3 4 3 2" xfId="9245"/>
    <cellStyle name="Normal 6 2 3 4 4" xfId="6435"/>
    <cellStyle name="Normal 6 2 3 5" xfId="1504"/>
    <cellStyle name="Normal 6 2 3 5 2" xfId="4314"/>
    <cellStyle name="Normal 6 2 3 5 2 2" xfId="9950"/>
    <cellStyle name="Normal 6 2 3 5 3" xfId="7140"/>
    <cellStyle name="Normal 6 2 3 6" xfId="2913"/>
    <cellStyle name="Normal 6 2 3 6 2" xfId="8549"/>
    <cellStyle name="Normal 6 2 3 7" xfId="5739"/>
    <cellStyle name="Normal 6 2 4" xfId="195"/>
    <cellStyle name="Normal 6 2 4 2" xfId="539"/>
    <cellStyle name="Normal 6 2 4 2 2" xfId="1235"/>
    <cellStyle name="Normal 6 2 4 2 2 2" xfId="2636"/>
    <cellStyle name="Normal 6 2 4 2 2 2 2" xfId="5446"/>
    <cellStyle name="Normal 6 2 4 2 2 2 2 2" xfId="11082"/>
    <cellStyle name="Normal 6 2 4 2 2 2 3" xfId="8272"/>
    <cellStyle name="Normal 6 2 4 2 2 3" xfId="4045"/>
    <cellStyle name="Normal 6 2 4 2 2 3 2" xfId="9681"/>
    <cellStyle name="Normal 6 2 4 2 2 4" xfId="6871"/>
    <cellStyle name="Normal 6 2 4 2 3" xfId="1940"/>
    <cellStyle name="Normal 6 2 4 2 3 2" xfId="4750"/>
    <cellStyle name="Normal 6 2 4 2 3 2 2" xfId="10386"/>
    <cellStyle name="Normal 6 2 4 2 3 3" xfId="7576"/>
    <cellStyle name="Normal 6 2 4 2 4" xfId="3349"/>
    <cellStyle name="Normal 6 2 4 2 4 2" xfId="8985"/>
    <cellStyle name="Normal 6 2 4 2 5" xfId="6175"/>
    <cellStyle name="Normal 6 2 4 3" xfId="891"/>
    <cellStyle name="Normal 6 2 4 3 2" xfId="2292"/>
    <cellStyle name="Normal 6 2 4 3 2 2" xfId="5102"/>
    <cellStyle name="Normal 6 2 4 3 2 2 2" xfId="10738"/>
    <cellStyle name="Normal 6 2 4 3 2 3" xfId="7928"/>
    <cellStyle name="Normal 6 2 4 3 3" xfId="3701"/>
    <cellStyle name="Normal 6 2 4 3 3 2" xfId="9337"/>
    <cellStyle name="Normal 6 2 4 3 4" xfId="6527"/>
    <cellStyle name="Normal 6 2 4 4" xfId="1596"/>
    <cellStyle name="Normal 6 2 4 4 2" xfId="4406"/>
    <cellStyle name="Normal 6 2 4 4 2 2" xfId="10042"/>
    <cellStyle name="Normal 6 2 4 4 3" xfId="7232"/>
    <cellStyle name="Normal 6 2 4 5" xfId="3005"/>
    <cellStyle name="Normal 6 2 4 5 2" xfId="8641"/>
    <cellStyle name="Normal 6 2 4 6" xfId="5831"/>
    <cellStyle name="Normal 6 2 5" xfId="367"/>
    <cellStyle name="Normal 6 2 5 2" xfId="1063"/>
    <cellStyle name="Normal 6 2 5 2 2" xfId="2464"/>
    <cellStyle name="Normal 6 2 5 2 2 2" xfId="5274"/>
    <cellStyle name="Normal 6 2 5 2 2 2 2" xfId="10910"/>
    <cellStyle name="Normal 6 2 5 2 2 3" xfId="8100"/>
    <cellStyle name="Normal 6 2 5 2 3" xfId="3873"/>
    <cellStyle name="Normal 6 2 5 2 3 2" xfId="9509"/>
    <cellStyle name="Normal 6 2 5 2 4" xfId="6699"/>
    <cellStyle name="Normal 6 2 5 3" xfId="1768"/>
    <cellStyle name="Normal 6 2 5 3 2" xfId="4578"/>
    <cellStyle name="Normal 6 2 5 3 2 2" xfId="10214"/>
    <cellStyle name="Normal 6 2 5 3 3" xfId="7404"/>
    <cellStyle name="Normal 6 2 5 4" xfId="3177"/>
    <cellStyle name="Normal 6 2 5 4 2" xfId="8813"/>
    <cellStyle name="Normal 6 2 5 5" xfId="6003"/>
    <cellStyle name="Normal 6 2 6" xfId="719"/>
    <cellStyle name="Normal 6 2 6 2" xfId="2120"/>
    <cellStyle name="Normal 6 2 6 2 2" xfId="4930"/>
    <cellStyle name="Normal 6 2 6 2 2 2" xfId="10566"/>
    <cellStyle name="Normal 6 2 6 2 3" xfId="7756"/>
    <cellStyle name="Normal 6 2 6 3" xfId="3529"/>
    <cellStyle name="Normal 6 2 6 3 2" xfId="9165"/>
    <cellStyle name="Normal 6 2 6 4" xfId="6355"/>
    <cellStyle name="Normal 6 2 7" xfId="1424"/>
    <cellStyle name="Normal 6 2 7 2" xfId="4234"/>
    <cellStyle name="Normal 6 2 7 2 2" xfId="9870"/>
    <cellStyle name="Normal 6 2 7 3" xfId="7060"/>
    <cellStyle name="Normal 6 2 8" xfId="2833"/>
    <cellStyle name="Normal 6 2 8 2" xfId="8469"/>
    <cellStyle name="Normal 6 2 9" xfId="5659"/>
    <cellStyle name="Normal 6 3" xfId="43"/>
    <cellStyle name="Normal 6 3 2" xfId="123"/>
    <cellStyle name="Normal 6 3 2 2" xfId="295"/>
    <cellStyle name="Normal 6 3 2 2 2" xfId="639"/>
    <cellStyle name="Normal 6 3 2 2 2 2" xfId="1335"/>
    <cellStyle name="Normal 6 3 2 2 2 2 2" xfId="2736"/>
    <cellStyle name="Normal 6 3 2 2 2 2 2 2" xfId="5546"/>
    <cellStyle name="Normal 6 3 2 2 2 2 2 2 2" xfId="11182"/>
    <cellStyle name="Normal 6 3 2 2 2 2 2 3" xfId="8372"/>
    <cellStyle name="Normal 6 3 2 2 2 2 3" xfId="4145"/>
    <cellStyle name="Normal 6 3 2 2 2 2 3 2" xfId="9781"/>
    <cellStyle name="Normal 6 3 2 2 2 2 4" xfId="6971"/>
    <cellStyle name="Normal 6 3 2 2 2 3" xfId="2040"/>
    <cellStyle name="Normal 6 3 2 2 2 3 2" xfId="4850"/>
    <cellStyle name="Normal 6 3 2 2 2 3 2 2" xfId="10486"/>
    <cellStyle name="Normal 6 3 2 2 2 3 3" xfId="7676"/>
    <cellStyle name="Normal 6 3 2 2 2 4" xfId="3449"/>
    <cellStyle name="Normal 6 3 2 2 2 4 2" xfId="9085"/>
    <cellStyle name="Normal 6 3 2 2 2 5" xfId="6275"/>
    <cellStyle name="Normal 6 3 2 2 3" xfId="991"/>
    <cellStyle name="Normal 6 3 2 2 3 2" xfId="2392"/>
    <cellStyle name="Normal 6 3 2 2 3 2 2" xfId="5202"/>
    <cellStyle name="Normal 6 3 2 2 3 2 2 2" xfId="10838"/>
    <cellStyle name="Normal 6 3 2 2 3 2 3" xfId="8028"/>
    <cellStyle name="Normal 6 3 2 2 3 3" xfId="3801"/>
    <cellStyle name="Normal 6 3 2 2 3 3 2" xfId="9437"/>
    <cellStyle name="Normal 6 3 2 2 3 4" xfId="6627"/>
    <cellStyle name="Normal 6 3 2 2 4" xfId="1696"/>
    <cellStyle name="Normal 6 3 2 2 4 2" xfId="4506"/>
    <cellStyle name="Normal 6 3 2 2 4 2 2" xfId="10142"/>
    <cellStyle name="Normal 6 3 2 2 4 3" xfId="7332"/>
    <cellStyle name="Normal 6 3 2 2 5" xfId="3105"/>
    <cellStyle name="Normal 6 3 2 2 5 2" xfId="8741"/>
    <cellStyle name="Normal 6 3 2 2 6" xfId="5931"/>
    <cellStyle name="Normal 6 3 2 3" xfId="467"/>
    <cellStyle name="Normal 6 3 2 3 2" xfId="1163"/>
    <cellStyle name="Normal 6 3 2 3 2 2" xfId="2564"/>
    <cellStyle name="Normal 6 3 2 3 2 2 2" xfId="5374"/>
    <cellStyle name="Normal 6 3 2 3 2 2 2 2" xfId="11010"/>
    <cellStyle name="Normal 6 3 2 3 2 2 3" xfId="8200"/>
    <cellStyle name="Normal 6 3 2 3 2 3" xfId="3973"/>
    <cellStyle name="Normal 6 3 2 3 2 3 2" xfId="9609"/>
    <cellStyle name="Normal 6 3 2 3 2 4" xfId="6799"/>
    <cellStyle name="Normal 6 3 2 3 3" xfId="1868"/>
    <cellStyle name="Normal 6 3 2 3 3 2" xfId="4678"/>
    <cellStyle name="Normal 6 3 2 3 3 2 2" xfId="10314"/>
    <cellStyle name="Normal 6 3 2 3 3 3" xfId="7504"/>
    <cellStyle name="Normal 6 3 2 3 4" xfId="3277"/>
    <cellStyle name="Normal 6 3 2 3 4 2" xfId="8913"/>
    <cellStyle name="Normal 6 3 2 3 5" xfId="6103"/>
    <cellStyle name="Normal 6 3 2 4" xfId="819"/>
    <cellStyle name="Normal 6 3 2 4 2" xfId="2220"/>
    <cellStyle name="Normal 6 3 2 4 2 2" xfId="5030"/>
    <cellStyle name="Normal 6 3 2 4 2 2 2" xfId="10666"/>
    <cellStyle name="Normal 6 3 2 4 2 3" xfId="7856"/>
    <cellStyle name="Normal 6 3 2 4 3" xfId="3629"/>
    <cellStyle name="Normal 6 3 2 4 3 2" xfId="9265"/>
    <cellStyle name="Normal 6 3 2 4 4" xfId="6455"/>
    <cellStyle name="Normal 6 3 2 5" xfId="1524"/>
    <cellStyle name="Normal 6 3 2 5 2" xfId="4334"/>
    <cellStyle name="Normal 6 3 2 5 2 2" xfId="9970"/>
    <cellStyle name="Normal 6 3 2 5 3" xfId="7160"/>
    <cellStyle name="Normal 6 3 2 6" xfId="2933"/>
    <cellStyle name="Normal 6 3 2 6 2" xfId="8569"/>
    <cellStyle name="Normal 6 3 2 7" xfId="5759"/>
    <cellStyle name="Normal 6 3 3" xfId="215"/>
    <cellStyle name="Normal 6 3 3 2" xfId="559"/>
    <cellStyle name="Normal 6 3 3 2 2" xfId="1255"/>
    <cellStyle name="Normal 6 3 3 2 2 2" xfId="2656"/>
    <cellStyle name="Normal 6 3 3 2 2 2 2" xfId="5466"/>
    <cellStyle name="Normal 6 3 3 2 2 2 2 2" xfId="11102"/>
    <cellStyle name="Normal 6 3 3 2 2 2 3" xfId="8292"/>
    <cellStyle name="Normal 6 3 3 2 2 3" xfId="4065"/>
    <cellStyle name="Normal 6 3 3 2 2 3 2" xfId="9701"/>
    <cellStyle name="Normal 6 3 3 2 2 4" xfId="6891"/>
    <cellStyle name="Normal 6 3 3 2 3" xfId="1960"/>
    <cellStyle name="Normal 6 3 3 2 3 2" xfId="4770"/>
    <cellStyle name="Normal 6 3 3 2 3 2 2" xfId="10406"/>
    <cellStyle name="Normal 6 3 3 2 3 3" xfId="7596"/>
    <cellStyle name="Normal 6 3 3 2 4" xfId="3369"/>
    <cellStyle name="Normal 6 3 3 2 4 2" xfId="9005"/>
    <cellStyle name="Normal 6 3 3 2 5" xfId="6195"/>
    <cellStyle name="Normal 6 3 3 3" xfId="911"/>
    <cellStyle name="Normal 6 3 3 3 2" xfId="2312"/>
    <cellStyle name="Normal 6 3 3 3 2 2" xfId="5122"/>
    <cellStyle name="Normal 6 3 3 3 2 2 2" xfId="10758"/>
    <cellStyle name="Normal 6 3 3 3 2 3" xfId="7948"/>
    <cellStyle name="Normal 6 3 3 3 3" xfId="3721"/>
    <cellStyle name="Normal 6 3 3 3 3 2" xfId="9357"/>
    <cellStyle name="Normal 6 3 3 3 4" xfId="6547"/>
    <cellStyle name="Normal 6 3 3 4" xfId="1616"/>
    <cellStyle name="Normal 6 3 3 4 2" xfId="4426"/>
    <cellStyle name="Normal 6 3 3 4 2 2" xfId="10062"/>
    <cellStyle name="Normal 6 3 3 4 3" xfId="7252"/>
    <cellStyle name="Normal 6 3 3 5" xfId="3025"/>
    <cellStyle name="Normal 6 3 3 5 2" xfId="8661"/>
    <cellStyle name="Normal 6 3 3 6" xfId="5851"/>
    <cellStyle name="Normal 6 3 4" xfId="387"/>
    <cellStyle name="Normal 6 3 4 2" xfId="1083"/>
    <cellStyle name="Normal 6 3 4 2 2" xfId="2484"/>
    <cellStyle name="Normal 6 3 4 2 2 2" xfId="5294"/>
    <cellStyle name="Normal 6 3 4 2 2 2 2" xfId="10930"/>
    <cellStyle name="Normal 6 3 4 2 2 3" xfId="8120"/>
    <cellStyle name="Normal 6 3 4 2 3" xfId="3893"/>
    <cellStyle name="Normal 6 3 4 2 3 2" xfId="9529"/>
    <cellStyle name="Normal 6 3 4 2 4" xfId="6719"/>
    <cellStyle name="Normal 6 3 4 3" xfId="1788"/>
    <cellStyle name="Normal 6 3 4 3 2" xfId="4598"/>
    <cellStyle name="Normal 6 3 4 3 2 2" xfId="10234"/>
    <cellStyle name="Normal 6 3 4 3 3" xfId="7424"/>
    <cellStyle name="Normal 6 3 4 4" xfId="3197"/>
    <cellStyle name="Normal 6 3 4 4 2" xfId="8833"/>
    <cellStyle name="Normal 6 3 4 5" xfId="6023"/>
    <cellStyle name="Normal 6 3 5" xfId="739"/>
    <cellStyle name="Normal 6 3 5 2" xfId="2140"/>
    <cellStyle name="Normal 6 3 5 2 2" xfId="4950"/>
    <cellStyle name="Normal 6 3 5 2 2 2" xfId="10586"/>
    <cellStyle name="Normal 6 3 5 2 3" xfId="7776"/>
    <cellStyle name="Normal 6 3 5 3" xfId="3549"/>
    <cellStyle name="Normal 6 3 5 3 2" xfId="9185"/>
    <cellStyle name="Normal 6 3 5 4" xfId="6375"/>
    <cellStyle name="Normal 6 3 6" xfId="1444"/>
    <cellStyle name="Normal 6 3 6 2" xfId="4254"/>
    <cellStyle name="Normal 6 3 6 2 2" xfId="9890"/>
    <cellStyle name="Normal 6 3 6 3" xfId="7080"/>
    <cellStyle name="Normal 6 3 7" xfId="2853"/>
    <cellStyle name="Normal 6 3 7 2" xfId="8489"/>
    <cellStyle name="Normal 6 3 8" xfId="5679"/>
    <cellStyle name="Normal 6 4" xfId="91"/>
    <cellStyle name="Normal 6 4 2" xfId="263"/>
    <cellStyle name="Normal 6 4 2 2" xfId="607"/>
    <cellStyle name="Normal 6 4 2 2 2" xfId="1303"/>
    <cellStyle name="Normal 6 4 2 2 2 2" xfId="2704"/>
    <cellStyle name="Normal 6 4 2 2 2 2 2" xfId="5514"/>
    <cellStyle name="Normal 6 4 2 2 2 2 2 2" xfId="11150"/>
    <cellStyle name="Normal 6 4 2 2 2 2 3" xfId="8340"/>
    <cellStyle name="Normal 6 4 2 2 2 3" xfId="4113"/>
    <cellStyle name="Normal 6 4 2 2 2 3 2" xfId="9749"/>
    <cellStyle name="Normal 6 4 2 2 2 4" xfId="6939"/>
    <cellStyle name="Normal 6 4 2 2 3" xfId="2008"/>
    <cellStyle name="Normal 6 4 2 2 3 2" xfId="4818"/>
    <cellStyle name="Normal 6 4 2 2 3 2 2" xfId="10454"/>
    <cellStyle name="Normal 6 4 2 2 3 3" xfId="7644"/>
    <cellStyle name="Normal 6 4 2 2 4" xfId="3417"/>
    <cellStyle name="Normal 6 4 2 2 4 2" xfId="9053"/>
    <cellStyle name="Normal 6 4 2 2 5" xfId="6243"/>
    <cellStyle name="Normal 6 4 2 3" xfId="959"/>
    <cellStyle name="Normal 6 4 2 3 2" xfId="2360"/>
    <cellStyle name="Normal 6 4 2 3 2 2" xfId="5170"/>
    <cellStyle name="Normal 6 4 2 3 2 2 2" xfId="10806"/>
    <cellStyle name="Normal 6 4 2 3 2 3" xfId="7996"/>
    <cellStyle name="Normal 6 4 2 3 3" xfId="3769"/>
    <cellStyle name="Normal 6 4 2 3 3 2" xfId="9405"/>
    <cellStyle name="Normal 6 4 2 3 4" xfId="6595"/>
    <cellStyle name="Normal 6 4 2 4" xfId="1664"/>
    <cellStyle name="Normal 6 4 2 4 2" xfId="4474"/>
    <cellStyle name="Normal 6 4 2 4 2 2" xfId="10110"/>
    <cellStyle name="Normal 6 4 2 4 3" xfId="7300"/>
    <cellStyle name="Normal 6 4 2 5" xfId="3073"/>
    <cellStyle name="Normal 6 4 2 5 2" xfId="8709"/>
    <cellStyle name="Normal 6 4 2 6" xfId="5899"/>
    <cellStyle name="Normal 6 4 3" xfId="435"/>
    <cellStyle name="Normal 6 4 3 2" xfId="1131"/>
    <cellStyle name="Normal 6 4 3 2 2" xfId="2532"/>
    <cellStyle name="Normal 6 4 3 2 2 2" xfId="5342"/>
    <cellStyle name="Normal 6 4 3 2 2 2 2" xfId="10978"/>
    <cellStyle name="Normal 6 4 3 2 2 3" xfId="8168"/>
    <cellStyle name="Normal 6 4 3 2 3" xfId="3941"/>
    <cellStyle name="Normal 6 4 3 2 3 2" xfId="9577"/>
    <cellStyle name="Normal 6 4 3 2 4" xfId="6767"/>
    <cellStyle name="Normal 6 4 3 3" xfId="1836"/>
    <cellStyle name="Normal 6 4 3 3 2" xfId="4646"/>
    <cellStyle name="Normal 6 4 3 3 2 2" xfId="10282"/>
    <cellStyle name="Normal 6 4 3 3 3" xfId="7472"/>
    <cellStyle name="Normal 6 4 3 4" xfId="3245"/>
    <cellStyle name="Normal 6 4 3 4 2" xfId="8881"/>
    <cellStyle name="Normal 6 4 3 5" xfId="6071"/>
    <cellStyle name="Normal 6 4 4" xfId="787"/>
    <cellStyle name="Normal 6 4 4 2" xfId="2188"/>
    <cellStyle name="Normal 6 4 4 2 2" xfId="4998"/>
    <cellStyle name="Normal 6 4 4 2 2 2" xfId="10634"/>
    <cellStyle name="Normal 6 4 4 2 3" xfId="7824"/>
    <cellStyle name="Normal 6 4 4 3" xfId="3597"/>
    <cellStyle name="Normal 6 4 4 3 2" xfId="9233"/>
    <cellStyle name="Normal 6 4 4 4" xfId="6423"/>
    <cellStyle name="Normal 6 4 5" xfId="1492"/>
    <cellStyle name="Normal 6 4 5 2" xfId="4302"/>
    <cellStyle name="Normal 6 4 5 2 2" xfId="9938"/>
    <cellStyle name="Normal 6 4 5 3" xfId="7128"/>
    <cellStyle name="Normal 6 4 6" xfId="2901"/>
    <cellStyle name="Normal 6 4 6 2" xfId="8537"/>
    <cellStyle name="Normal 6 4 7" xfId="5727"/>
    <cellStyle name="Normal 6 5" xfId="183"/>
    <cellStyle name="Normal 6 5 2" xfId="527"/>
    <cellStyle name="Normal 6 5 2 2" xfId="1223"/>
    <cellStyle name="Normal 6 5 2 2 2" xfId="2624"/>
    <cellStyle name="Normal 6 5 2 2 2 2" xfId="5434"/>
    <cellStyle name="Normal 6 5 2 2 2 2 2" xfId="11070"/>
    <cellStyle name="Normal 6 5 2 2 2 3" xfId="8260"/>
    <cellStyle name="Normal 6 5 2 2 3" xfId="4033"/>
    <cellStyle name="Normal 6 5 2 2 3 2" xfId="9669"/>
    <cellStyle name="Normal 6 5 2 2 4" xfId="6859"/>
    <cellStyle name="Normal 6 5 2 3" xfId="1928"/>
    <cellStyle name="Normal 6 5 2 3 2" xfId="4738"/>
    <cellStyle name="Normal 6 5 2 3 2 2" xfId="10374"/>
    <cellStyle name="Normal 6 5 2 3 3" xfId="7564"/>
    <cellStyle name="Normal 6 5 2 4" xfId="3337"/>
    <cellStyle name="Normal 6 5 2 4 2" xfId="8973"/>
    <cellStyle name="Normal 6 5 2 5" xfId="6163"/>
    <cellStyle name="Normal 6 5 3" xfId="879"/>
    <cellStyle name="Normal 6 5 3 2" xfId="2280"/>
    <cellStyle name="Normal 6 5 3 2 2" xfId="5090"/>
    <cellStyle name="Normal 6 5 3 2 2 2" xfId="10726"/>
    <cellStyle name="Normal 6 5 3 2 3" xfId="7916"/>
    <cellStyle name="Normal 6 5 3 3" xfId="3689"/>
    <cellStyle name="Normal 6 5 3 3 2" xfId="9325"/>
    <cellStyle name="Normal 6 5 3 4" xfId="6515"/>
    <cellStyle name="Normal 6 5 4" xfId="1584"/>
    <cellStyle name="Normal 6 5 4 2" xfId="4394"/>
    <cellStyle name="Normal 6 5 4 2 2" xfId="10030"/>
    <cellStyle name="Normal 6 5 4 3" xfId="7220"/>
    <cellStyle name="Normal 6 5 5" xfId="2993"/>
    <cellStyle name="Normal 6 5 5 2" xfId="8629"/>
    <cellStyle name="Normal 6 5 6" xfId="5819"/>
    <cellStyle name="Normal 6 6" xfId="355"/>
    <cellStyle name="Normal 6 6 2" xfId="1051"/>
    <cellStyle name="Normal 6 6 2 2" xfId="2452"/>
    <cellStyle name="Normal 6 6 2 2 2" xfId="5262"/>
    <cellStyle name="Normal 6 6 2 2 2 2" xfId="10898"/>
    <cellStyle name="Normal 6 6 2 2 3" xfId="8088"/>
    <cellStyle name="Normal 6 6 2 3" xfId="3861"/>
    <cellStyle name="Normal 6 6 2 3 2" xfId="9497"/>
    <cellStyle name="Normal 6 6 2 4" xfId="6687"/>
    <cellStyle name="Normal 6 6 3" xfId="1756"/>
    <cellStyle name="Normal 6 6 3 2" xfId="4566"/>
    <cellStyle name="Normal 6 6 3 2 2" xfId="10202"/>
    <cellStyle name="Normal 6 6 3 3" xfId="7392"/>
    <cellStyle name="Normal 6 6 4" xfId="3165"/>
    <cellStyle name="Normal 6 6 4 2" xfId="8801"/>
    <cellStyle name="Normal 6 6 5" xfId="5991"/>
    <cellStyle name="Normal 6 7" xfId="707"/>
    <cellStyle name="Normal 6 7 2" xfId="2108"/>
    <cellStyle name="Normal 6 7 2 2" xfId="4918"/>
    <cellStyle name="Normal 6 7 2 2 2" xfId="10554"/>
    <cellStyle name="Normal 6 7 2 3" xfId="7744"/>
    <cellStyle name="Normal 6 7 3" xfId="3517"/>
    <cellStyle name="Normal 6 7 3 2" xfId="9153"/>
    <cellStyle name="Normal 6 7 4" xfId="6343"/>
    <cellStyle name="Normal 6 8" xfId="1412"/>
    <cellStyle name="Normal 6 8 2" xfId="4222"/>
    <cellStyle name="Normal 6 8 2 2" xfId="9858"/>
    <cellStyle name="Normal 6 8 3" xfId="7048"/>
    <cellStyle name="Normal 6 9" xfId="2821"/>
    <cellStyle name="Normal 6 9 2" xfId="8457"/>
    <cellStyle name="Normal 60" xfId="11284"/>
    <cellStyle name="Normal 61" xfId="11285"/>
    <cellStyle name="Normal 62" xfId="5627"/>
    <cellStyle name="Normal 62 2" xfId="11263"/>
    <cellStyle name="Normal 63" xfId="11286"/>
    <cellStyle name="Normal 64" xfId="11287"/>
    <cellStyle name="Normal 65" xfId="11288"/>
    <cellStyle name="Normal 66" xfId="11289"/>
    <cellStyle name="Normal 67" xfId="11290"/>
    <cellStyle name="Normal 68" xfId="11291"/>
    <cellStyle name="Normal 69" xfId="11292"/>
    <cellStyle name="Normal 7" xfId="13"/>
    <cellStyle name="Normal 7 2" xfId="45"/>
    <cellStyle name="Normal 7 2 2" xfId="125"/>
    <cellStyle name="Normal 7 2 2 2" xfId="297"/>
    <cellStyle name="Normal 7 2 2 2 2" xfId="641"/>
    <cellStyle name="Normal 7 2 2 2 2 2" xfId="1337"/>
    <cellStyle name="Normal 7 2 2 2 2 2 2" xfId="2738"/>
    <cellStyle name="Normal 7 2 2 2 2 2 2 2" xfId="5548"/>
    <cellStyle name="Normal 7 2 2 2 2 2 2 2 2" xfId="11184"/>
    <cellStyle name="Normal 7 2 2 2 2 2 2 3" xfId="8374"/>
    <cellStyle name="Normal 7 2 2 2 2 2 3" xfId="4147"/>
    <cellStyle name="Normal 7 2 2 2 2 2 3 2" xfId="9783"/>
    <cellStyle name="Normal 7 2 2 2 2 2 4" xfId="6973"/>
    <cellStyle name="Normal 7 2 2 2 2 3" xfId="2042"/>
    <cellStyle name="Normal 7 2 2 2 2 3 2" xfId="4852"/>
    <cellStyle name="Normal 7 2 2 2 2 3 2 2" xfId="10488"/>
    <cellStyle name="Normal 7 2 2 2 2 3 3" xfId="7678"/>
    <cellStyle name="Normal 7 2 2 2 2 4" xfId="3451"/>
    <cellStyle name="Normal 7 2 2 2 2 4 2" xfId="9087"/>
    <cellStyle name="Normal 7 2 2 2 2 5" xfId="6277"/>
    <cellStyle name="Normal 7 2 2 2 3" xfId="993"/>
    <cellStyle name="Normal 7 2 2 2 3 2" xfId="2394"/>
    <cellStyle name="Normal 7 2 2 2 3 2 2" xfId="5204"/>
    <cellStyle name="Normal 7 2 2 2 3 2 2 2" xfId="10840"/>
    <cellStyle name="Normal 7 2 2 2 3 2 3" xfId="8030"/>
    <cellStyle name="Normal 7 2 2 2 3 3" xfId="3803"/>
    <cellStyle name="Normal 7 2 2 2 3 3 2" xfId="9439"/>
    <cellStyle name="Normal 7 2 2 2 3 4" xfId="6629"/>
    <cellStyle name="Normal 7 2 2 2 4" xfId="1698"/>
    <cellStyle name="Normal 7 2 2 2 4 2" xfId="4508"/>
    <cellStyle name="Normal 7 2 2 2 4 2 2" xfId="10144"/>
    <cellStyle name="Normal 7 2 2 2 4 3" xfId="7334"/>
    <cellStyle name="Normal 7 2 2 2 5" xfId="3107"/>
    <cellStyle name="Normal 7 2 2 2 5 2" xfId="8743"/>
    <cellStyle name="Normal 7 2 2 2 6" xfId="5933"/>
    <cellStyle name="Normal 7 2 2 3" xfId="469"/>
    <cellStyle name="Normal 7 2 2 3 2" xfId="1165"/>
    <cellStyle name="Normal 7 2 2 3 2 2" xfId="2566"/>
    <cellStyle name="Normal 7 2 2 3 2 2 2" xfId="5376"/>
    <cellStyle name="Normal 7 2 2 3 2 2 2 2" xfId="11012"/>
    <cellStyle name="Normal 7 2 2 3 2 2 3" xfId="8202"/>
    <cellStyle name="Normal 7 2 2 3 2 3" xfId="3975"/>
    <cellStyle name="Normal 7 2 2 3 2 3 2" xfId="9611"/>
    <cellStyle name="Normal 7 2 2 3 2 4" xfId="6801"/>
    <cellStyle name="Normal 7 2 2 3 3" xfId="1870"/>
    <cellStyle name="Normal 7 2 2 3 3 2" xfId="4680"/>
    <cellStyle name="Normal 7 2 2 3 3 2 2" xfId="10316"/>
    <cellStyle name="Normal 7 2 2 3 3 3" xfId="7506"/>
    <cellStyle name="Normal 7 2 2 3 4" xfId="3279"/>
    <cellStyle name="Normal 7 2 2 3 4 2" xfId="8915"/>
    <cellStyle name="Normal 7 2 2 3 5" xfId="6105"/>
    <cellStyle name="Normal 7 2 2 4" xfId="821"/>
    <cellStyle name="Normal 7 2 2 4 2" xfId="2222"/>
    <cellStyle name="Normal 7 2 2 4 2 2" xfId="5032"/>
    <cellStyle name="Normal 7 2 2 4 2 2 2" xfId="10668"/>
    <cellStyle name="Normal 7 2 2 4 2 3" xfId="7858"/>
    <cellStyle name="Normal 7 2 2 4 3" xfId="3631"/>
    <cellStyle name="Normal 7 2 2 4 3 2" xfId="9267"/>
    <cellStyle name="Normal 7 2 2 4 4" xfId="6457"/>
    <cellStyle name="Normal 7 2 2 5" xfId="1526"/>
    <cellStyle name="Normal 7 2 2 5 2" xfId="4336"/>
    <cellStyle name="Normal 7 2 2 5 2 2" xfId="9972"/>
    <cellStyle name="Normal 7 2 2 5 3" xfId="7162"/>
    <cellStyle name="Normal 7 2 2 6" xfId="2935"/>
    <cellStyle name="Normal 7 2 2 6 2" xfId="8571"/>
    <cellStyle name="Normal 7 2 2 7" xfId="5761"/>
    <cellStyle name="Normal 7 2 3" xfId="217"/>
    <cellStyle name="Normal 7 2 3 2" xfId="561"/>
    <cellStyle name="Normal 7 2 3 2 2" xfId="1257"/>
    <cellStyle name="Normal 7 2 3 2 2 2" xfId="2658"/>
    <cellStyle name="Normal 7 2 3 2 2 2 2" xfId="5468"/>
    <cellStyle name="Normal 7 2 3 2 2 2 2 2" xfId="11104"/>
    <cellStyle name="Normal 7 2 3 2 2 2 3" xfId="8294"/>
    <cellStyle name="Normal 7 2 3 2 2 3" xfId="4067"/>
    <cellStyle name="Normal 7 2 3 2 2 3 2" xfId="9703"/>
    <cellStyle name="Normal 7 2 3 2 2 4" xfId="6893"/>
    <cellStyle name="Normal 7 2 3 2 3" xfId="1962"/>
    <cellStyle name="Normal 7 2 3 2 3 2" xfId="4772"/>
    <cellStyle name="Normal 7 2 3 2 3 2 2" xfId="10408"/>
    <cellStyle name="Normal 7 2 3 2 3 3" xfId="7598"/>
    <cellStyle name="Normal 7 2 3 2 4" xfId="3371"/>
    <cellStyle name="Normal 7 2 3 2 4 2" xfId="9007"/>
    <cellStyle name="Normal 7 2 3 2 5" xfId="6197"/>
    <cellStyle name="Normal 7 2 3 3" xfId="913"/>
    <cellStyle name="Normal 7 2 3 3 2" xfId="2314"/>
    <cellStyle name="Normal 7 2 3 3 2 2" xfId="5124"/>
    <cellStyle name="Normal 7 2 3 3 2 2 2" xfId="10760"/>
    <cellStyle name="Normal 7 2 3 3 2 3" xfId="7950"/>
    <cellStyle name="Normal 7 2 3 3 3" xfId="3723"/>
    <cellStyle name="Normal 7 2 3 3 3 2" xfId="9359"/>
    <cellStyle name="Normal 7 2 3 3 4" xfId="6549"/>
    <cellStyle name="Normal 7 2 3 4" xfId="1618"/>
    <cellStyle name="Normal 7 2 3 4 2" xfId="4428"/>
    <cellStyle name="Normal 7 2 3 4 2 2" xfId="10064"/>
    <cellStyle name="Normal 7 2 3 4 3" xfId="7254"/>
    <cellStyle name="Normal 7 2 3 5" xfId="3027"/>
    <cellStyle name="Normal 7 2 3 5 2" xfId="8663"/>
    <cellStyle name="Normal 7 2 3 6" xfId="5853"/>
    <cellStyle name="Normal 7 2 4" xfId="389"/>
    <cellStyle name="Normal 7 2 4 2" xfId="1085"/>
    <cellStyle name="Normal 7 2 4 2 2" xfId="2486"/>
    <cellStyle name="Normal 7 2 4 2 2 2" xfId="5296"/>
    <cellStyle name="Normal 7 2 4 2 2 2 2" xfId="10932"/>
    <cellStyle name="Normal 7 2 4 2 2 3" xfId="8122"/>
    <cellStyle name="Normal 7 2 4 2 3" xfId="3895"/>
    <cellStyle name="Normal 7 2 4 2 3 2" xfId="9531"/>
    <cellStyle name="Normal 7 2 4 2 4" xfId="6721"/>
    <cellStyle name="Normal 7 2 4 3" xfId="1790"/>
    <cellStyle name="Normal 7 2 4 3 2" xfId="4600"/>
    <cellStyle name="Normal 7 2 4 3 2 2" xfId="10236"/>
    <cellStyle name="Normal 7 2 4 3 3" xfId="7426"/>
    <cellStyle name="Normal 7 2 4 4" xfId="3199"/>
    <cellStyle name="Normal 7 2 4 4 2" xfId="8835"/>
    <cellStyle name="Normal 7 2 4 5" xfId="6025"/>
    <cellStyle name="Normal 7 2 5" xfId="741"/>
    <cellStyle name="Normal 7 2 5 2" xfId="2142"/>
    <cellStyle name="Normal 7 2 5 2 2" xfId="4952"/>
    <cellStyle name="Normal 7 2 5 2 2 2" xfId="10588"/>
    <cellStyle name="Normal 7 2 5 2 3" xfId="7778"/>
    <cellStyle name="Normal 7 2 5 3" xfId="3551"/>
    <cellStyle name="Normal 7 2 5 3 2" xfId="9187"/>
    <cellStyle name="Normal 7 2 5 4" xfId="6377"/>
    <cellStyle name="Normal 7 2 6" xfId="1446"/>
    <cellStyle name="Normal 7 2 6 2" xfId="4256"/>
    <cellStyle name="Normal 7 2 6 2 2" xfId="9892"/>
    <cellStyle name="Normal 7 2 6 3" xfId="7082"/>
    <cellStyle name="Normal 7 2 7" xfId="2855"/>
    <cellStyle name="Normal 7 2 7 2" xfId="8491"/>
    <cellStyle name="Normal 7 2 8" xfId="5681"/>
    <cellStyle name="Normal 7 3" xfId="93"/>
    <cellStyle name="Normal 7 3 2" xfId="265"/>
    <cellStyle name="Normal 7 3 2 2" xfId="609"/>
    <cellStyle name="Normal 7 3 2 2 2" xfId="1305"/>
    <cellStyle name="Normal 7 3 2 2 2 2" xfId="2706"/>
    <cellStyle name="Normal 7 3 2 2 2 2 2" xfId="5516"/>
    <cellStyle name="Normal 7 3 2 2 2 2 2 2" xfId="11152"/>
    <cellStyle name="Normal 7 3 2 2 2 2 3" xfId="8342"/>
    <cellStyle name="Normal 7 3 2 2 2 3" xfId="4115"/>
    <cellStyle name="Normal 7 3 2 2 2 3 2" xfId="9751"/>
    <cellStyle name="Normal 7 3 2 2 2 4" xfId="6941"/>
    <cellStyle name="Normal 7 3 2 2 3" xfId="2010"/>
    <cellStyle name="Normal 7 3 2 2 3 2" xfId="4820"/>
    <cellStyle name="Normal 7 3 2 2 3 2 2" xfId="10456"/>
    <cellStyle name="Normal 7 3 2 2 3 3" xfId="7646"/>
    <cellStyle name="Normal 7 3 2 2 4" xfId="3419"/>
    <cellStyle name="Normal 7 3 2 2 4 2" xfId="9055"/>
    <cellStyle name="Normal 7 3 2 2 5" xfId="6245"/>
    <cellStyle name="Normal 7 3 2 3" xfId="961"/>
    <cellStyle name="Normal 7 3 2 3 2" xfId="2362"/>
    <cellStyle name="Normal 7 3 2 3 2 2" xfId="5172"/>
    <cellStyle name="Normal 7 3 2 3 2 2 2" xfId="10808"/>
    <cellStyle name="Normal 7 3 2 3 2 3" xfId="7998"/>
    <cellStyle name="Normal 7 3 2 3 3" xfId="3771"/>
    <cellStyle name="Normal 7 3 2 3 3 2" xfId="9407"/>
    <cellStyle name="Normal 7 3 2 3 4" xfId="6597"/>
    <cellStyle name="Normal 7 3 2 4" xfId="1666"/>
    <cellStyle name="Normal 7 3 2 4 2" xfId="4476"/>
    <cellStyle name="Normal 7 3 2 4 2 2" xfId="10112"/>
    <cellStyle name="Normal 7 3 2 4 3" xfId="7302"/>
    <cellStyle name="Normal 7 3 2 5" xfId="3075"/>
    <cellStyle name="Normal 7 3 2 5 2" xfId="8711"/>
    <cellStyle name="Normal 7 3 2 6" xfId="5901"/>
    <cellStyle name="Normal 7 3 3" xfId="437"/>
    <cellStyle name="Normal 7 3 3 2" xfId="1133"/>
    <cellStyle name="Normal 7 3 3 2 2" xfId="2534"/>
    <cellStyle name="Normal 7 3 3 2 2 2" xfId="5344"/>
    <cellStyle name="Normal 7 3 3 2 2 2 2" xfId="10980"/>
    <cellStyle name="Normal 7 3 3 2 2 3" xfId="8170"/>
    <cellStyle name="Normal 7 3 3 2 3" xfId="3943"/>
    <cellStyle name="Normal 7 3 3 2 3 2" xfId="9579"/>
    <cellStyle name="Normal 7 3 3 2 4" xfId="6769"/>
    <cellStyle name="Normal 7 3 3 3" xfId="1838"/>
    <cellStyle name="Normal 7 3 3 3 2" xfId="4648"/>
    <cellStyle name="Normal 7 3 3 3 2 2" xfId="10284"/>
    <cellStyle name="Normal 7 3 3 3 3" xfId="7474"/>
    <cellStyle name="Normal 7 3 3 4" xfId="3247"/>
    <cellStyle name="Normal 7 3 3 4 2" xfId="8883"/>
    <cellStyle name="Normal 7 3 3 5" xfId="6073"/>
    <cellStyle name="Normal 7 3 4" xfId="789"/>
    <cellStyle name="Normal 7 3 4 2" xfId="2190"/>
    <cellStyle name="Normal 7 3 4 2 2" xfId="5000"/>
    <cellStyle name="Normal 7 3 4 2 2 2" xfId="10636"/>
    <cellStyle name="Normal 7 3 4 2 3" xfId="7826"/>
    <cellStyle name="Normal 7 3 4 3" xfId="3599"/>
    <cellStyle name="Normal 7 3 4 3 2" xfId="9235"/>
    <cellStyle name="Normal 7 3 4 4" xfId="6425"/>
    <cellStyle name="Normal 7 3 5" xfId="1494"/>
    <cellStyle name="Normal 7 3 5 2" xfId="4304"/>
    <cellStyle name="Normal 7 3 5 2 2" xfId="9940"/>
    <cellStyle name="Normal 7 3 5 3" xfId="7130"/>
    <cellStyle name="Normal 7 3 6" xfId="2903"/>
    <cellStyle name="Normal 7 3 6 2" xfId="8539"/>
    <cellStyle name="Normal 7 3 7" xfId="5729"/>
    <cellStyle name="Normal 7 4" xfId="185"/>
    <cellStyle name="Normal 7 4 2" xfId="529"/>
    <cellStyle name="Normal 7 4 2 2" xfId="1225"/>
    <cellStyle name="Normal 7 4 2 2 2" xfId="2626"/>
    <cellStyle name="Normal 7 4 2 2 2 2" xfId="5436"/>
    <cellStyle name="Normal 7 4 2 2 2 2 2" xfId="11072"/>
    <cellStyle name="Normal 7 4 2 2 2 3" xfId="8262"/>
    <cellStyle name="Normal 7 4 2 2 3" xfId="4035"/>
    <cellStyle name="Normal 7 4 2 2 3 2" xfId="9671"/>
    <cellStyle name="Normal 7 4 2 2 4" xfId="6861"/>
    <cellStyle name="Normal 7 4 2 3" xfId="1930"/>
    <cellStyle name="Normal 7 4 2 3 2" xfId="4740"/>
    <cellStyle name="Normal 7 4 2 3 2 2" xfId="10376"/>
    <cellStyle name="Normal 7 4 2 3 3" xfId="7566"/>
    <cellStyle name="Normal 7 4 2 4" xfId="3339"/>
    <cellStyle name="Normal 7 4 2 4 2" xfId="8975"/>
    <cellStyle name="Normal 7 4 2 5" xfId="6165"/>
    <cellStyle name="Normal 7 4 3" xfId="881"/>
    <cellStyle name="Normal 7 4 3 2" xfId="2282"/>
    <cellStyle name="Normal 7 4 3 2 2" xfId="5092"/>
    <cellStyle name="Normal 7 4 3 2 2 2" xfId="10728"/>
    <cellStyle name="Normal 7 4 3 2 3" xfId="7918"/>
    <cellStyle name="Normal 7 4 3 3" xfId="3691"/>
    <cellStyle name="Normal 7 4 3 3 2" xfId="9327"/>
    <cellStyle name="Normal 7 4 3 4" xfId="6517"/>
    <cellStyle name="Normal 7 4 4" xfId="1586"/>
    <cellStyle name="Normal 7 4 4 2" xfId="4396"/>
    <cellStyle name="Normal 7 4 4 2 2" xfId="10032"/>
    <cellStyle name="Normal 7 4 4 3" xfId="7222"/>
    <cellStyle name="Normal 7 4 5" xfId="2995"/>
    <cellStyle name="Normal 7 4 5 2" xfId="8631"/>
    <cellStyle name="Normal 7 4 6" xfId="5821"/>
    <cellStyle name="Normal 7 5" xfId="357"/>
    <cellStyle name="Normal 7 5 2" xfId="1053"/>
    <cellStyle name="Normal 7 5 2 2" xfId="2454"/>
    <cellStyle name="Normal 7 5 2 2 2" xfId="5264"/>
    <cellStyle name="Normal 7 5 2 2 2 2" xfId="10900"/>
    <cellStyle name="Normal 7 5 2 2 3" xfId="8090"/>
    <cellStyle name="Normal 7 5 2 3" xfId="3863"/>
    <cellStyle name="Normal 7 5 2 3 2" xfId="9499"/>
    <cellStyle name="Normal 7 5 2 4" xfId="6689"/>
    <cellStyle name="Normal 7 5 3" xfId="1758"/>
    <cellStyle name="Normal 7 5 3 2" xfId="4568"/>
    <cellStyle name="Normal 7 5 3 2 2" xfId="10204"/>
    <cellStyle name="Normal 7 5 3 3" xfId="7394"/>
    <cellStyle name="Normal 7 5 4" xfId="3167"/>
    <cellStyle name="Normal 7 5 4 2" xfId="8803"/>
    <cellStyle name="Normal 7 5 5" xfId="5993"/>
    <cellStyle name="Normal 7 6" xfId="709"/>
    <cellStyle name="Normal 7 6 2" xfId="2110"/>
    <cellStyle name="Normal 7 6 2 2" xfId="4920"/>
    <cellStyle name="Normal 7 6 2 2 2" xfId="10556"/>
    <cellStyle name="Normal 7 6 2 3" xfId="7746"/>
    <cellStyle name="Normal 7 6 3" xfId="3519"/>
    <cellStyle name="Normal 7 6 3 2" xfId="9155"/>
    <cellStyle name="Normal 7 6 4" xfId="6345"/>
    <cellStyle name="Normal 7 7" xfId="1414"/>
    <cellStyle name="Normal 7 7 2" xfId="4224"/>
    <cellStyle name="Normal 7 7 2 2" xfId="9860"/>
    <cellStyle name="Normal 7 7 3" xfId="7050"/>
    <cellStyle name="Normal 7 8" xfId="2823"/>
    <cellStyle name="Normal 7 8 2" xfId="8459"/>
    <cellStyle name="Normal 7 9" xfId="5649"/>
    <cellStyle name="Normal 70" xfId="11293"/>
    <cellStyle name="Normal 71" xfId="11294"/>
    <cellStyle name="Normal 72" xfId="11295"/>
    <cellStyle name="Normal 73" xfId="11296"/>
    <cellStyle name="Normal 74" xfId="11297"/>
    <cellStyle name="Normal 75" xfId="11298"/>
    <cellStyle name="Normal 76" xfId="11299"/>
    <cellStyle name="Normal 77" xfId="11300"/>
    <cellStyle name="Normal 78" xfId="11301"/>
    <cellStyle name="Normal 79" xfId="11302"/>
    <cellStyle name="Normal 8" xfId="26"/>
    <cellStyle name="Normal 8 2" xfId="58"/>
    <cellStyle name="Normal 8 2 2" xfId="138"/>
    <cellStyle name="Normal 8 2 2 2" xfId="310"/>
    <cellStyle name="Normal 8 2 2 2 2" xfId="654"/>
    <cellStyle name="Normal 8 2 2 2 2 2" xfId="1350"/>
    <cellStyle name="Normal 8 2 2 2 2 2 2" xfId="2751"/>
    <cellStyle name="Normal 8 2 2 2 2 2 2 2" xfId="5561"/>
    <cellStyle name="Normal 8 2 2 2 2 2 2 2 2" xfId="11197"/>
    <cellStyle name="Normal 8 2 2 2 2 2 2 3" xfId="8387"/>
    <cellStyle name="Normal 8 2 2 2 2 2 3" xfId="4160"/>
    <cellStyle name="Normal 8 2 2 2 2 2 3 2" xfId="9796"/>
    <cellStyle name="Normal 8 2 2 2 2 2 4" xfId="6986"/>
    <cellStyle name="Normal 8 2 2 2 2 3" xfId="2055"/>
    <cellStyle name="Normal 8 2 2 2 2 3 2" xfId="4865"/>
    <cellStyle name="Normal 8 2 2 2 2 3 2 2" xfId="10501"/>
    <cellStyle name="Normal 8 2 2 2 2 3 3" xfId="7691"/>
    <cellStyle name="Normal 8 2 2 2 2 4" xfId="3464"/>
    <cellStyle name="Normal 8 2 2 2 2 4 2" xfId="9100"/>
    <cellStyle name="Normal 8 2 2 2 2 5" xfId="6290"/>
    <cellStyle name="Normal 8 2 2 2 3" xfId="1006"/>
    <cellStyle name="Normal 8 2 2 2 3 2" xfId="2407"/>
    <cellStyle name="Normal 8 2 2 2 3 2 2" xfId="5217"/>
    <cellStyle name="Normal 8 2 2 2 3 2 2 2" xfId="10853"/>
    <cellStyle name="Normal 8 2 2 2 3 2 3" xfId="8043"/>
    <cellStyle name="Normal 8 2 2 2 3 3" xfId="3816"/>
    <cellStyle name="Normal 8 2 2 2 3 3 2" xfId="9452"/>
    <cellStyle name="Normal 8 2 2 2 3 4" xfId="6642"/>
    <cellStyle name="Normal 8 2 2 2 4" xfId="1711"/>
    <cellStyle name="Normal 8 2 2 2 4 2" xfId="4521"/>
    <cellStyle name="Normal 8 2 2 2 4 2 2" xfId="10157"/>
    <cellStyle name="Normal 8 2 2 2 4 3" xfId="7347"/>
    <cellStyle name="Normal 8 2 2 2 5" xfId="3120"/>
    <cellStyle name="Normal 8 2 2 2 5 2" xfId="8756"/>
    <cellStyle name="Normal 8 2 2 2 6" xfId="5946"/>
    <cellStyle name="Normal 8 2 2 3" xfId="482"/>
    <cellStyle name="Normal 8 2 2 3 2" xfId="1178"/>
    <cellStyle name="Normal 8 2 2 3 2 2" xfId="2579"/>
    <cellStyle name="Normal 8 2 2 3 2 2 2" xfId="5389"/>
    <cellStyle name="Normal 8 2 2 3 2 2 2 2" xfId="11025"/>
    <cellStyle name="Normal 8 2 2 3 2 2 3" xfId="8215"/>
    <cellStyle name="Normal 8 2 2 3 2 3" xfId="3988"/>
    <cellStyle name="Normal 8 2 2 3 2 3 2" xfId="9624"/>
    <cellStyle name="Normal 8 2 2 3 2 4" xfId="6814"/>
    <cellStyle name="Normal 8 2 2 3 3" xfId="1883"/>
    <cellStyle name="Normal 8 2 2 3 3 2" xfId="4693"/>
    <cellStyle name="Normal 8 2 2 3 3 2 2" xfId="10329"/>
    <cellStyle name="Normal 8 2 2 3 3 3" xfId="7519"/>
    <cellStyle name="Normal 8 2 2 3 4" xfId="3292"/>
    <cellStyle name="Normal 8 2 2 3 4 2" xfId="8928"/>
    <cellStyle name="Normal 8 2 2 3 5" xfId="6118"/>
    <cellStyle name="Normal 8 2 2 4" xfId="834"/>
    <cellStyle name="Normal 8 2 2 4 2" xfId="2235"/>
    <cellStyle name="Normal 8 2 2 4 2 2" xfId="5045"/>
    <cellStyle name="Normal 8 2 2 4 2 2 2" xfId="10681"/>
    <cellStyle name="Normal 8 2 2 4 2 3" xfId="7871"/>
    <cellStyle name="Normal 8 2 2 4 3" xfId="3644"/>
    <cellStyle name="Normal 8 2 2 4 3 2" xfId="9280"/>
    <cellStyle name="Normal 8 2 2 4 4" xfId="6470"/>
    <cellStyle name="Normal 8 2 2 5" xfId="1539"/>
    <cellStyle name="Normal 8 2 2 5 2" xfId="4349"/>
    <cellStyle name="Normal 8 2 2 5 2 2" xfId="9985"/>
    <cellStyle name="Normal 8 2 2 5 3" xfId="7175"/>
    <cellStyle name="Normal 8 2 2 6" xfId="2948"/>
    <cellStyle name="Normal 8 2 2 6 2" xfId="8584"/>
    <cellStyle name="Normal 8 2 2 7" xfId="5774"/>
    <cellStyle name="Normal 8 2 3" xfId="230"/>
    <cellStyle name="Normal 8 2 3 2" xfId="574"/>
    <cellStyle name="Normal 8 2 3 2 2" xfId="1270"/>
    <cellStyle name="Normal 8 2 3 2 2 2" xfId="2671"/>
    <cellStyle name="Normal 8 2 3 2 2 2 2" xfId="5481"/>
    <cellStyle name="Normal 8 2 3 2 2 2 2 2" xfId="11117"/>
    <cellStyle name="Normal 8 2 3 2 2 2 3" xfId="8307"/>
    <cellStyle name="Normal 8 2 3 2 2 3" xfId="4080"/>
    <cellStyle name="Normal 8 2 3 2 2 3 2" xfId="9716"/>
    <cellStyle name="Normal 8 2 3 2 2 4" xfId="6906"/>
    <cellStyle name="Normal 8 2 3 2 3" xfId="1975"/>
    <cellStyle name="Normal 8 2 3 2 3 2" xfId="4785"/>
    <cellStyle name="Normal 8 2 3 2 3 2 2" xfId="10421"/>
    <cellStyle name="Normal 8 2 3 2 3 3" xfId="7611"/>
    <cellStyle name="Normal 8 2 3 2 4" xfId="3384"/>
    <cellStyle name="Normal 8 2 3 2 4 2" xfId="9020"/>
    <cellStyle name="Normal 8 2 3 2 5" xfId="6210"/>
    <cellStyle name="Normal 8 2 3 3" xfId="926"/>
    <cellStyle name="Normal 8 2 3 3 2" xfId="2327"/>
    <cellStyle name="Normal 8 2 3 3 2 2" xfId="5137"/>
    <cellStyle name="Normal 8 2 3 3 2 2 2" xfId="10773"/>
    <cellStyle name="Normal 8 2 3 3 2 3" xfId="7963"/>
    <cellStyle name="Normal 8 2 3 3 3" xfId="3736"/>
    <cellStyle name="Normal 8 2 3 3 3 2" xfId="9372"/>
    <cellStyle name="Normal 8 2 3 3 4" xfId="6562"/>
    <cellStyle name="Normal 8 2 3 4" xfId="1631"/>
    <cellStyle name="Normal 8 2 3 4 2" xfId="4441"/>
    <cellStyle name="Normal 8 2 3 4 2 2" xfId="10077"/>
    <cellStyle name="Normal 8 2 3 4 3" xfId="7267"/>
    <cellStyle name="Normal 8 2 3 5" xfId="3040"/>
    <cellStyle name="Normal 8 2 3 5 2" xfId="8676"/>
    <cellStyle name="Normal 8 2 3 6" xfId="5866"/>
    <cellStyle name="Normal 8 2 4" xfId="402"/>
    <cellStyle name="Normal 8 2 4 2" xfId="1098"/>
    <cellStyle name="Normal 8 2 4 2 2" xfId="2499"/>
    <cellStyle name="Normal 8 2 4 2 2 2" xfId="5309"/>
    <cellStyle name="Normal 8 2 4 2 2 2 2" xfId="10945"/>
    <cellStyle name="Normal 8 2 4 2 2 3" xfId="8135"/>
    <cellStyle name="Normal 8 2 4 2 3" xfId="3908"/>
    <cellStyle name="Normal 8 2 4 2 3 2" xfId="9544"/>
    <cellStyle name="Normal 8 2 4 2 4" xfId="6734"/>
    <cellStyle name="Normal 8 2 4 3" xfId="1803"/>
    <cellStyle name="Normal 8 2 4 3 2" xfId="4613"/>
    <cellStyle name="Normal 8 2 4 3 2 2" xfId="10249"/>
    <cellStyle name="Normal 8 2 4 3 3" xfId="7439"/>
    <cellStyle name="Normal 8 2 4 4" xfId="3212"/>
    <cellStyle name="Normal 8 2 4 4 2" xfId="8848"/>
    <cellStyle name="Normal 8 2 4 5" xfId="6038"/>
    <cellStyle name="Normal 8 2 5" xfId="754"/>
    <cellStyle name="Normal 8 2 5 2" xfId="2155"/>
    <cellStyle name="Normal 8 2 5 2 2" xfId="4965"/>
    <cellStyle name="Normal 8 2 5 2 2 2" xfId="10601"/>
    <cellStyle name="Normal 8 2 5 2 3" xfId="7791"/>
    <cellStyle name="Normal 8 2 5 3" xfId="3564"/>
    <cellStyle name="Normal 8 2 5 3 2" xfId="9200"/>
    <cellStyle name="Normal 8 2 5 4" xfId="6390"/>
    <cellStyle name="Normal 8 2 6" xfId="1459"/>
    <cellStyle name="Normal 8 2 6 2" xfId="4269"/>
    <cellStyle name="Normal 8 2 6 2 2" xfId="9905"/>
    <cellStyle name="Normal 8 2 6 3" xfId="7095"/>
    <cellStyle name="Normal 8 2 7" xfId="2868"/>
    <cellStyle name="Normal 8 2 7 2" xfId="8504"/>
    <cellStyle name="Normal 8 2 8" xfId="5694"/>
    <cellStyle name="Normal 8 3" xfId="106"/>
    <cellStyle name="Normal 8 3 2" xfId="278"/>
    <cellStyle name="Normal 8 3 2 2" xfId="622"/>
    <cellStyle name="Normal 8 3 2 2 2" xfId="1318"/>
    <cellStyle name="Normal 8 3 2 2 2 2" xfId="2719"/>
    <cellStyle name="Normal 8 3 2 2 2 2 2" xfId="5529"/>
    <cellStyle name="Normal 8 3 2 2 2 2 2 2" xfId="11165"/>
    <cellStyle name="Normal 8 3 2 2 2 2 3" xfId="8355"/>
    <cellStyle name="Normal 8 3 2 2 2 3" xfId="4128"/>
    <cellStyle name="Normal 8 3 2 2 2 3 2" xfId="9764"/>
    <cellStyle name="Normal 8 3 2 2 2 4" xfId="6954"/>
    <cellStyle name="Normal 8 3 2 2 3" xfId="2023"/>
    <cellStyle name="Normal 8 3 2 2 3 2" xfId="4833"/>
    <cellStyle name="Normal 8 3 2 2 3 2 2" xfId="10469"/>
    <cellStyle name="Normal 8 3 2 2 3 3" xfId="7659"/>
    <cellStyle name="Normal 8 3 2 2 4" xfId="3432"/>
    <cellStyle name="Normal 8 3 2 2 4 2" xfId="9068"/>
    <cellStyle name="Normal 8 3 2 2 5" xfId="6258"/>
    <cellStyle name="Normal 8 3 2 3" xfId="974"/>
    <cellStyle name="Normal 8 3 2 3 2" xfId="2375"/>
    <cellStyle name="Normal 8 3 2 3 2 2" xfId="5185"/>
    <cellStyle name="Normal 8 3 2 3 2 2 2" xfId="10821"/>
    <cellStyle name="Normal 8 3 2 3 2 3" xfId="8011"/>
    <cellStyle name="Normal 8 3 2 3 3" xfId="3784"/>
    <cellStyle name="Normal 8 3 2 3 3 2" xfId="9420"/>
    <cellStyle name="Normal 8 3 2 3 4" xfId="6610"/>
    <cellStyle name="Normal 8 3 2 4" xfId="1679"/>
    <cellStyle name="Normal 8 3 2 4 2" xfId="4489"/>
    <cellStyle name="Normal 8 3 2 4 2 2" xfId="10125"/>
    <cellStyle name="Normal 8 3 2 4 3" xfId="7315"/>
    <cellStyle name="Normal 8 3 2 5" xfId="3088"/>
    <cellStyle name="Normal 8 3 2 5 2" xfId="8724"/>
    <cellStyle name="Normal 8 3 2 6" xfId="5914"/>
    <cellStyle name="Normal 8 3 3" xfId="450"/>
    <cellStyle name="Normal 8 3 3 2" xfId="1146"/>
    <cellStyle name="Normal 8 3 3 2 2" xfId="2547"/>
    <cellStyle name="Normal 8 3 3 2 2 2" xfId="5357"/>
    <cellStyle name="Normal 8 3 3 2 2 2 2" xfId="10993"/>
    <cellStyle name="Normal 8 3 3 2 2 3" xfId="8183"/>
    <cellStyle name="Normal 8 3 3 2 3" xfId="3956"/>
    <cellStyle name="Normal 8 3 3 2 3 2" xfId="9592"/>
    <cellStyle name="Normal 8 3 3 2 4" xfId="6782"/>
    <cellStyle name="Normal 8 3 3 3" xfId="1851"/>
    <cellStyle name="Normal 8 3 3 3 2" xfId="4661"/>
    <cellStyle name="Normal 8 3 3 3 2 2" xfId="10297"/>
    <cellStyle name="Normal 8 3 3 3 3" xfId="7487"/>
    <cellStyle name="Normal 8 3 3 4" xfId="3260"/>
    <cellStyle name="Normal 8 3 3 4 2" xfId="8896"/>
    <cellStyle name="Normal 8 3 3 5" xfId="6086"/>
    <cellStyle name="Normal 8 3 4" xfId="802"/>
    <cellStyle name="Normal 8 3 4 2" xfId="2203"/>
    <cellStyle name="Normal 8 3 4 2 2" xfId="5013"/>
    <cellStyle name="Normal 8 3 4 2 2 2" xfId="10649"/>
    <cellStyle name="Normal 8 3 4 2 3" xfId="7839"/>
    <cellStyle name="Normal 8 3 4 3" xfId="3612"/>
    <cellStyle name="Normal 8 3 4 3 2" xfId="9248"/>
    <cellStyle name="Normal 8 3 4 4" xfId="6438"/>
    <cellStyle name="Normal 8 3 5" xfId="1507"/>
    <cellStyle name="Normal 8 3 5 2" xfId="4317"/>
    <cellStyle name="Normal 8 3 5 2 2" xfId="9953"/>
    <cellStyle name="Normal 8 3 5 3" xfId="7143"/>
    <cellStyle name="Normal 8 3 6" xfId="2916"/>
    <cellStyle name="Normal 8 3 6 2" xfId="8552"/>
    <cellStyle name="Normal 8 3 7" xfId="5742"/>
    <cellStyle name="Normal 8 4" xfId="198"/>
    <cellStyle name="Normal 8 4 2" xfId="542"/>
    <cellStyle name="Normal 8 4 2 2" xfId="1238"/>
    <cellStyle name="Normal 8 4 2 2 2" xfId="2639"/>
    <cellStyle name="Normal 8 4 2 2 2 2" xfId="5449"/>
    <cellStyle name="Normal 8 4 2 2 2 2 2" xfId="11085"/>
    <cellStyle name="Normal 8 4 2 2 2 3" xfId="8275"/>
    <cellStyle name="Normal 8 4 2 2 3" xfId="4048"/>
    <cellStyle name="Normal 8 4 2 2 3 2" xfId="9684"/>
    <cellStyle name="Normal 8 4 2 2 4" xfId="6874"/>
    <cellStyle name="Normal 8 4 2 3" xfId="1943"/>
    <cellStyle name="Normal 8 4 2 3 2" xfId="4753"/>
    <cellStyle name="Normal 8 4 2 3 2 2" xfId="10389"/>
    <cellStyle name="Normal 8 4 2 3 3" xfId="7579"/>
    <cellStyle name="Normal 8 4 2 4" xfId="3352"/>
    <cellStyle name="Normal 8 4 2 4 2" xfId="8988"/>
    <cellStyle name="Normal 8 4 2 5" xfId="6178"/>
    <cellStyle name="Normal 8 4 3" xfId="894"/>
    <cellStyle name="Normal 8 4 3 2" xfId="2295"/>
    <cellStyle name="Normal 8 4 3 2 2" xfId="5105"/>
    <cellStyle name="Normal 8 4 3 2 2 2" xfId="10741"/>
    <cellStyle name="Normal 8 4 3 2 3" xfId="7931"/>
    <cellStyle name="Normal 8 4 3 3" xfId="3704"/>
    <cellStyle name="Normal 8 4 3 3 2" xfId="9340"/>
    <cellStyle name="Normal 8 4 3 4" xfId="6530"/>
    <cellStyle name="Normal 8 4 4" xfId="1599"/>
    <cellStyle name="Normal 8 4 4 2" xfId="4409"/>
    <cellStyle name="Normal 8 4 4 2 2" xfId="10045"/>
    <cellStyle name="Normal 8 4 4 3" xfId="7235"/>
    <cellStyle name="Normal 8 4 5" xfId="3008"/>
    <cellStyle name="Normal 8 4 5 2" xfId="8644"/>
    <cellStyle name="Normal 8 4 6" xfId="5834"/>
    <cellStyle name="Normal 8 5" xfId="370"/>
    <cellStyle name="Normal 8 5 2" xfId="1066"/>
    <cellStyle name="Normal 8 5 2 2" xfId="2467"/>
    <cellStyle name="Normal 8 5 2 2 2" xfId="5277"/>
    <cellStyle name="Normal 8 5 2 2 2 2" xfId="10913"/>
    <cellStyle name="Normal 8 5 2 2 3" xfId="8103"/>
    <cellStyle name="Normal 8 5 2 3" xfId="3876"/>
    <cellStyle name="Normal 8 5 2 3 2" xfId="9512"/>
    <cellStyle name="Normal 8 5 2 4" xfId="6702"/>
    <cellStyle name="Normal 8 5 3" xfId="1771"/>
    <cellStyle name="Normal 8 5 3 2" xfId="4581"/>
    <cellStyle name="Normal 8 5 3 2 2" xfId="10217"/>
    <cellStyle name="Normal 8 5 3 3" xfId="7407"/>
    <cellStyle name="Normal 8 5 4" xfId="3180"/>
    <cellStyle name="Normal 8 5 4 2" xfId="8816"/>
    <cellStyle name="Normal 8 5 5" xfId="6006"/>
    <cellStyle name="Normal 8 6" xfId="722"/>
    <cellStyle name="Normal 8 6 2" xfId="2123"/>
    <cellStyle name="Normal 8 6 2 2" xfId="4933"/>
    <cellStyle name="Normal 8 6 2 2 2" xfId="10569"/>
    <cellStyle name="Normal 8 6 2 3" xfId="7759"/>
    <cellStyle name="Normal 8 6 3" xfId="3532"/>
    <cellStyle name="Normal 8 6 3 2" xfId="9168"/>
    <cellStyle name="Normal 8 6 4" xfId="6358"/>
    <cellStyle name="Normal 8 7" xfId="1427"/>
    <cellStyle name="Normal 8 7 2" xfId="4237"/>
    <cellStyle name="Normal 8 7 2 2" xfId="9873"/>
    <cellStyle name="Normal 8 7 3" xfId="7063"/>
    <cellStyle name="Normal 8 8" xfId="2836"/>
    <cellStyle name="Normal 8 8 2" xfId="8472"/>
    <cellStyle name="Normal 8 9" xfId="5662"/>
    <cellStyle name="Normal 80" xfId="11303"/>
    <cellStyle name="Normal 81" xfId="11304"/>
    <cellStyle name="Normal 82" xfId="11305"/>
    <cellStyle name="Normal 83" xfId="11306"/>
    <cellStyle name="Normal 84" xfId="11307"/>
    <cellStyle name="Normal 85" xfId="11308"/>
    <cellStyle name="Normal 86" xfId="11309"/>
    <cellStyle name="Normal 87" xfId="11310"/>
    <cellStyle name="Normal 88" xfId="11311"/>
    <cellStyle name="Normal 89" xfId="11312"/>
    <cellStyle name="Normal 9" xfId="28"/>
    <cellStyle name="Normal 9 10" xfId="11280"/>
    <cellStyle name="Normal 9 2" xfId="60"/>
    <cellStyle name="Normal 9 2 2" xfId="140"/>
    <cellStyle name="Normal 9 2 2 2" xfId="312"/>
    <cellStyle name="Normal 9 2 2 2 2" xfId="656"/>
    <cellStyle name="Normal 9 2 2 2 2 2" xfId="1352"/>
    <cellStyle name="Normal 9 2 2 2 2 2 2" xfId="2753"/>
    <cellStyle name="Normal 9 2 2 2 2 2 2 2" xfId="5563"/>
    <cellStyle name="Normal 9 2 2 2 2 2 2 2 2" xfId="11199"/>
    <cellStyle name="Normal 9 2 2 2 2 2 2 3" xfId="8389"/>
    <cellStyle name="Normal 9 2 2 2 2 2 3" xfId="4162"/>
    <cellStyle name="Normal 9 2 2 2 2 2 3 2" xfId="9798"/>
    <cellStyle name="Normal 9 2 2 2 2 2 4" xfId="6988"/>
    <cellStyle name="Normal 9 2 2 2 2 3" xfId="2057"/>
    <cellStyle name="Normal 9 2 2 2 2 3 2" xfId="4867"/>
    <cellStyle name="Normal 9 2 2 2 2 3 2 2" xfId="10503"/>
    <cellStyle name="Normal 9 2 2 2 2 3 3" xfId="7693"/>
    <cellStyle name="Normal 9 2 2 2 2 4" xfId="3466"/>
    <cellStyle name="Normal 9 2 2 2 2 4 2" xfId="9102"/>
    <cellStyle name="Normal 9 2 2 2 2 5" xfId="6292"/>
    <cellStyle name="Normal 9 2 2 2 3" xfId="1008"/>
    <cellStyle name="Normal 9 2 2 2 3 2" xfId="2409"/>
    <cellStyle name="Normal 9 2 2 2 3 2 2" xfId="5219"/>
    <cellStyle name="Normal 9 2 2 2 3 2 2 2" xfId="10855"/>
    <cellStyle name="Normal 9 2 2 2 3 2 3" xfId="8045"/>
    <cellStyle name="Normal 9 2 2 2 3 3" xfId="3818"/>
    <cellStyle name="Normal 9 2 2 2 3 3 2" xfId="9454"/>
    <cellStyle name="Normal 9 2 2 2 3 4" xfId="6644"/>
    <cellStyle name="Normal 9 2 2 2 4" xfId="1713"/>
    <cellStyle name="Normal 9 2 2 2 4 2" xfId="4523"/>
    <cellStyle name="Normal 9 2 2 2 4 2 2" xfId="10159"/>
    <cellStyle name="Normal 9 2 2 2 4 3" xfId="7349"/>
    <cellStyle name="Normal 9 2 2 2 5" xfId="3122"/>
    <cellStyle name="Normal 9 2 2 2 5 2" xfId="8758"/>
    <cellStyle name="Normal 9 2 2 2 6" xfId="5948"/>
    <cellStyle name="Normal 9 2 2 3" xfId="484"/>
    <cellStyle name="Normal 9 2 2 3 2" xfId="1180"/>
    <cellStyle name="Normal 9 2 2 3 2 2" xfId="2581"/>
    <cellStyle name="Normal 9 2 2 3 2 2 2" xfId="5391"/>
    <cellStyle name="Normal 9 2 2 3 2 2 2 2" xfId="11027"/>
    <cellStyle name="Normal 9 2 2 3 2 2 3" xfId="8217"/>
    <cellStyle name="Normal 9 2 2 3 2 3" xfId="3990"/>
    <cellStyle name="Normal 9 2 2 3 2 3 2" xfId="9626"/>
    <cellStyle name="Normal 9 2 2 3 2 4" xfId="6816"/>
    <cellStyle name="Normal 9 2 2 3 3" xfId="1885"/>
    <cellStyle name="Normal 9 2 2 3 3 2" xfId="4695"/>
    <cellStyle name="Normal 9 2 2 3 3 2 2" xfId="10331"/>
    <cellStyle name="Normal 9 2 2 3 3 3" xfId="7521"/>
    <cellStyle name="Normal 9 2 2 3 4" xfId="3294"/>
    <cellStyle name="Normal 9 2 2 3 4 2" xfId="8930"/>
    <cellStyle name="Normal 9 2 2 3 5" xfId="6120"/>
    <cellStyle name="Normal 9 2 2 4" xfId="836"/>
    <cellStyle name="Normal 9 2 2 4 2" xfId="2237"/>
    <cellStyle name="Normal 9 2 2 4 2 2" xfId="5047"/>
    <cellStyle name="Normal 9 2 2 4 2 2 2" xfId="10683"/>
    <cellStyle name="Normal 9 2 2 4 2 3" xfId="7873"/>
    <cellStyle name="Normal 9 2 2 4 3" xfId="3646"/>
    <cellStyle name="Normal 9 2 2 4 3 2" xfId="9282"/>
    <cellStyle name="Normal 9 2 2 4 4" xfId="6472"/>
    <cellStyle name="Normal 9 2 2 5" xfId="1541"/>
    <cellStyle name="Normal 9 2 2 5 2" xfId="4351"/>
    <cellStyle name="Normal 9 2 2 5 2 2" xfId="9987"/>
    <cellStyle name="Normal 9 2 2 5 3" xfId="7177"/>
    <cellStyle name="Normal 9 2 2 6" xfId="2950"/>
    <cellStyle name="Normal 9 2 2 6 2" xfId="8586"/>
    <cellStyle name="Normal 9 2 2 7" xfId="5776"/>
    <cellStyle name="Normal 9 2 3" xfId="232"/>
    <cellStyle name="Normal 9 2 3 2" xfId="576"/>
    <cellStyle name="Normal 9 2 3 2 2" xfId="1272"/>
    <cellStyle name="Normal 9 2 3 2 2 2" xfId="2673"/>
    <cellStyle name="Normal 9 2 3 2 2 2 2" xfId="5483"/>
    <cellStyle name="Normal 9 2 3 2 2 2 2 2" xfId="11119"/>
    <cellStyle name="Normal 9 2 3 2 2 2 3" xfId="8309"/>
    <cellStyle name="Normal 9 2 3 2 2 3" xfId="4082"/>
    <cellStyle name="Normal 9 2 3 2 2 3 2" xfId="9718"/>
    <cellStyle name="Normal 9 2 3 2 2 4" xfId="6908"/>
    <cellStyle name="Normal 9 2 3 2 3" xfId="1977"/>
    <cellStyle name="Normal 9 2 3 2 3 2" xfId="4787"/>
    <cellStyle name="Normal 9 2 3 2 3 2 2" xfId="10423"/>
    <cellStyle name="Normal 9 2 3 2 3 3" xfId="7613"/>
    <cellStyle name="Normal 9 2 3 2 4" xfId="3386"/>
    <cellStyle name="Normal 9 2 3 2 4 2" xfId="9022"/>
    <cellStyle name="Normal 9 2 3 2 5" xfId="6212"/>
    <cellStyle name="Normal 9 2 3 3" xfId="928"/>
    <cellStyle name="Normal 9 2 3 3 2" xfId="2329"/>
    <cellStyle name="Normal 9 2 3 3 2 2" xfId="5139"/>
    <cellStyle name="Normal 9 2 3 3 2 2 2" xfId="10775"/>
    <cellStyle name="Normal 9 2 3 3 2 3" xfId="7965"/>
    <cellStyle name="Normal 9 2 3 3 3" xfId="3738"/>
    <cellStyle name="Normal 9 2 3 3 3 2" xfId="9374"/>
    <cellStyle name="Normal 9 2 3 3 4" xfId="6564"/>
    <cellStyle name="Normal 9 2 3 4" xfId="1633"/>
    <cellStyle name="Normal 9 2 3 4 2" xfId="4443"/>
    <cellStyle name="Normal 9 2 3 4 2 2" xfId="10079"/>
    <cellStyle name="Normal 9 2 3 4 3" xfId="7269"/>
    <cellStyle name="Normal 9 2 3 5" xfId="3042"/>
    <cellStyle name="Normal 9 2 3 5 2" xfId="8678"/>
    <cellStyle name="Normal 9 2 3 6" xfId="5868"/>
    <cellStyle name="Normal 9 2 4" xfId="404"/>
    <cellStyle name="Normal 9 2 4 2" xfId="1100"/>
    <cellStyle name="Normal 9 2 4 2 2" xfId="2501"/>
    <cellStyle name="Normal 9 2 4 2 2 2" xfId="5311"/>
    <cellStyle name="Normal 9 2 4 2 2 2 2" xfId="10947"/>
    <cellStyle name="Normal 9 2 4 2 2 3" xfId="8137"/>
    <cellStyle name="Normal 9 2 4 2 3" xfId="3910"/>
    <cellStyle name="Normal 9 2 4 2 3 2" xfId="9546"/>
    <cellStyle name="Normal 9 2 4 2 4" xfId="6736"/>
    <cellStyle name="Normal 9 2 4 3" xfId="1805"/>
    <cellStyle name="Normal 9 2 4 3 2" xfId="4615"/>
    <cellStyle name="Normal 9 2 4 3 2 2" xfId="10251"/>
    <cellStyle name="Normal 9 2 4 3 3" xfId="7441"/>
    <cellStyle name="Normal 9 2 4 4" xfId="3214"/>
    <cellStyle name="Normal 9 2 4 4 2" xfId="8850"/>
    <cellStyle name="Normal 9 2 4 5" xfId="6040"/>
    <cellStyle name="Normal 9 2 5" xfId="756"/>
    <cellStyle name="Normal 9 2 5 2" xfId="2157"/>
    <cellStyle name="Normal 9 2 5 2 2" xfId="4967"/>
    <cellStyle name="Normal 9 2 5 2 2 2" xfId="10603"/>
    <cellStyle name="Normal 9 2 5 2 3" xfId="7793"/>
    <cellStyle name="Normal 9 2 5 3" xfId="3566"/>
    <cellStyle name="Normal 9 2 5 3 2" xfId="9202"/>
    <cellStyle name="Normal 9 2 5 4" xfId="6392"/>
    <cellStyle name="Normal 9 2 6" xfId="1461"/>
    <cellStyle name="Normal 9 2 6 2" xfId="4271"/>
    <cellStyle name="Normal 9 2 6 2 2" xfId="9907"/>
    <cellStyle name="Normal 9 2 6 3" xfId="7097"/>
    <cellStyle name="Normal 9 2 7" xfId="2870"/>
    <cellStyle name="Normal 9 2 7 2" xfId="8506"/>
    <cellStyle name="Normal 9 2 8" xfId="5696"/>
    <cellStyle name="Normal 9 3" xfId="108"/>
    <cellStyle name="Normal 9 3 2" xfId="280"/>
    <cellStyle name="Normal 9 3 2 2" xfId="624"/>
    <cellStyle name="Normal 9 3 2 2 2" xfId="1320"/>
    <cellStyle name="Normal 9 3 2 2 2 2" xfId="2721"/>
    <cellStyle name="Normal 9 3 2 2 2 2 2" xfId="5531"/>
    <cellStyle name="Normal 9 3 2 2 2 2 2 2" xfId="11167"/>
    <cellStyle name="Normal 9 3 2 2 2 2 3" xfId="8357"/>
    <cellStyle name="Normal 9 3 2 2 2 3" xfId="4130"/>
    <cellStyle name="Normal 9 3 2 2 2 3 2" xfId="9766"/>
    <cellStyle name="Normal 9 3 2 2 2 4" xfId="6956"/>
    <cellStyle name="Normal 9 3 2 2 3" xfId="2025"/>
    <cellStyle name="Normal 9 3 2 2 3 2" xfId="4835"/>
    <cellStyle name="Normal 9 3 2 2 3 2 2" xfId="10471"/>
    <cellStyle name="Normal 9 3 2 2 3 3" xfId="7661"/>
    <cellStyle name="Normal 9 3 2 2 4" xfId="3434"/>
    <cellStyle name="Normal 9 3 2 2 4 2" xfId="9070"/>
    <cellStyle name="Normal 9 3 2 2 5" xfId="6260"/>
    <cellStyle name="Normal 9 3 2 3" xfId="976"/>
    <cellStyle name="Normal 9 3 2 3 2" xfId="2377"/>
    <cellStyle name="Normal 9 3 2 3 2 2" xfId="5187"/>
    <cellStyle name="Normal 9 3 2 3 2 2 2" xfId="10823"/>
    <cellStyle name="Normal 9 3 2 3 2 3" xfId="8013"/>
    <cellStyle name="Normal 9 3 2 3 3" xfId="3786"/>
    <cellStyle name="Normal 9 3 2 3 3 2" xfId="9422"/>
    <cellStyle name="Normal 9 3 2 3 4" xfId="6612"/>
    <cellStyle name="Normal 9 3 2 4" xfId="1681"/>
    <cellStyle name="Normal 9 3 2 4 2" xfId="4491"/>
    <cellStyle name="Normal 9 3 2 4 2 2" xfId="10127"/>
    <cellStyle name="Normal 9 3 2 4 3" xfId="7317"/>
    <cellStyle name="Normal 9 3 2 5" xfId="3090"/>
    <cellStyle name="Normal 9 3 2 5 2" xfId="8726"/>
    <cellStyle name="Normal 9 3 2 6" xfId="5916"/>
    <cellStyle name="Normal 9 3 3" xfId="452"/>
    <cellStyle name="Normal 9 3 3 2" xfId="1148"/>
    <cellStyle name="Normal 9 3 3 2 2" xfId="2549"/>
    <cellStyle name="Normal 9 3 3 2 2 2" xfId="5359"/>
    <cellStyle name="Normal 9 3 3 2 2 2 2" xfId="10995"/>
    <cellStyle name="Normal 9 3 3 2 2 3" xfId="8185"/>
    <cellStyle name="Normal 9 3 3 2 3" xfId="3958"/>
    <cellStyle name="Normal 9 3 3 2 3 2" xfId="9594"/>
    <cellStyle name="Normal 9 3 3 2 4" xfId="6784"/>
    <cellStyle name="Normal 9 3 3 3" xfId="1853"/>
    <cellStyle name="Normal 9 3 3 3 2" xfId="4663"/>
    <cellStyle name="Normal 9 3 3 3 2 2" xfId="10299"/>
    <cellStyle name="Normal 9 3 3 3 3" xfId="7489"/>
    <cellStyle name="Normal 9 3 3 4" xfId="3262"/>
    <cellStyle name="Normal 9 3 3 4 2" xfId="8898"/>
    <cellStyle name="Normal 9 3 3 5" xfId="6088"/>
    <cellStyle name="Normal 9 3 4" xfId="804"/>
    <cellStyle name="Normal 9 3 4 2" xfId="2205"/>
    <cellStyle name="Normal 9 3 4 2 2" xfId="5015"/>
    <cellStyle name="Normal 9 3 4 2 2 2" xfId="10651"/>
    <cellStyle name="Normal 9 3 4 2 3" xfId="7841"/>
    <cellStyle name="Normal 9 3 4 3" xfId="3614"/>
    <cellStyle name="Normal 9 3 4 3 2" xfId="9250"/>
    <cellStyle name="Normal 9 3 4 4" xfId="6440"/>
    <cellStyle name="Normal 9 3 5" xfId="1509"/>
    <cellStyle name="Normal 9 3 5 2" xfId="4319"/>
    <cellStyle name="Normal 9 3 5 2 2" xfId="9955"/>
    <cellStyle name="Normal 9 3 5 3" xfId="7145"/>
    <cellStyle name="Normal 9 3 6" xfId="2918"/>
    <cellStyle name="Normal 9 3 6 2" xfId="8554"/>
    <cellStyle name="Normal 9 3 7" xfId="5744"/>
    <cellStyle name="Normal 9 4" xfId="200"/>
    <cellStyle name="Normal 9 4 2" xfId="544"/>
    <cellStyle name="Normal 9 4 2 2" xfId="1240"/>
    <cellStyle name="Normal 9 4 2 2 2" xfId="2641"/>
    <cellStyle name="Normal 9 4 2 2 2 2" xfId="5451"/>
    <cellStyle name="Normal 9 4 2 2 2 2 2" xfId="11087"/>
    <cellStyle name="Normal 9 4 2 2 2 3" xfId="8277"/>
    <cellStyle name="Normal 9 4 2 2 3" xfId="4050"/>
    <cellStyle name="Normal 9 4 2 2 3 2" xfId="9686"/>
    <cellStyle name="Normal 9 4 2 2 4" xfId="6876"/>
    <cellStyle name="Normal 9 4 2 3" xfId="1945"/>
    <cellStyle name="Normal 9 4 2 3 2" xfId="4755"/>
    <cellStyle name="Normal 9 4 2 3 2 2" xfId="10391"/>
    <cellStyle name="Normal 9 4 2 3 3" xfId="7581"/>
    <cellStyle name="Normal 9 4 2 4" xfId="3354"/>
    <cellStyle name="Normal 9 4 2 4 2" xfId="8990"/>
    <cellStyle name="Normal 9 4 2 5" xfId="6180"/>
    <cellStyle name="Normal 9 4 3" xfId="896"/>
    <cellStyle name="Normal 9 4 3 2" xfId="2297"/>
    <cellStyle name="Normal 9 4 3 2 2" xfId="5107"/>
    <cellStyle name="Normal 9 4 3 2 2 2" xfId="10743"/>
    <cellStyle name="Normal 9 4 3 2 3" xfId="7933"/>
    <cellStyle name="Normal 9 4 3 3" xfId="3706"/>
    <cellStyle name="Normal 9 4 3 3 2" xfId="9342"/>
    <cellStyle name="Normal 9 4 3 4" xfId="6532"/>
    <cellStyle name="Normal 9 4 4" xfId="1601"/>
    <cellStyle name="Normal 9 4 4 2" xfId="4411"/>
    <cellStyle name="Normal 9 4 4 2 2" xfId="10047"/>
    <cellStyle name="Normal 9 4 4 3" xfId="7237"/>
    <cellStyle name="Normal 9 4 5" xfId="3010"/>
    <cellStyle name="Normal 9 4 5 2" xfId="8646"/>
    <cellStyle name="Normal 9 4 6" xfId="5836"/>
    <cellStyle name="Normal 9 5" xfId="372"/>
    <cellStyle name="Normal 9 5 2" xfId="1068"/>
    <cellStyle name="Normal 9 5 2 2" xfId="2469"/>
    <cellStyle name="Normal 9 5 2 2 2" xfId="5279"/>
    <cellStyle name="Normal 9 5 2 2 2 2" xfId="10915"/>
    <cellStyle name="Normal 9 5 2 2 3" xfId="8105"/>
    <cellStyle name="Normal 9 5 2 3" xfId="3878"/>
    <cellStyle name="Normal 9 5 2 3 2" xfId="9514"/>
    <cellStyle name="Normal 9 5 2 4" xfId="6704"/>
    <cellStyle name="Normal 9 5 3" xfId="1773"/>
    <cellStyle name="Normal 9 5 3 2" xfId="4583"/>
    <cellStyle name="Normal 9 5 3 2 2" xfId="10219"/>
    <cellStyle name="Normal 9 5 3 3" xfId="7409"/>
    <cellStyle name="Normal 9 5 4" xfId="3182"/>
    <cellStyle name="Normal 9 5 4 2" xfId="8818"/>
    <cellStyle name="Normal 9 5 5" xfId="6008"/>
    <cellStyle name="Normal 9 6" xfId="724"/>
    <cellStyle name="Normal 9 6 2" xfId="2125"/>
    <cellStyle name="Normal 9 6 2 2" xfId="4935"/>
    <cellStyle name="Normal 9 6 2 2 2" xfId="10571"/>
    <cellStyle name="Normal 9 6 2 3" xfId="7761"/>
    <cellStyle name="Normal 9 6 3" xfId="3534"/>
    <cellStyle name="Normal 9 6 3 2" xfId="9170"/>
    <cellStyle name="Normal 9 6 4" xfId="6360"/>
    <cellStyle name="Normal 9 7" xfId="1429"/>
    <cellStyle name="Normal 9 7 2" xfId="4239"/>
    <cellStyle name="Normal 9 7 2 2" xfId="9875"/>
    <cellStyle name="Normal 9 7 3" xfId="7065"/>
    <cellStyle name="Normal 9 8" xfId="2838"/>
    <cellStyle name="Normal 9 8 2" xfId="8474"/>
    <cellStyle name="Normal 9 9" xfId="5664"/>
    <cellStyle name="Normal 90" xfId="11313"/>
    <cellStyle name="Normal 91" xfId="11314"/>
    <cellStyle name="Normal 92" xfId="11315"/>
    <cellStyle name="Normal 93" xfId="11316"/>
    <cellStyle name="Normal 94" xfId="11317"/>
    <cellStyle name="Normal 95" xfId="11318"/>
    <cellStyle name="Normal 96" xfId="11319"/>
    <cellStyle name="Normal 97" xfId="11320"/>
    <cellStyle name="Normal 98" xfId="11321"/>
    <cellStyle name="Normal 99" xfId="11322"/>
    <cellStyle name="Percent 2" xfId="174"/>
    <cellStyle name="Percent 2 2" xfId="518"/>
    <cellStyle name="Percent 2 2 2" xfId="1214"/>
    <cellStyle name="Percent 2 2 2 2" xfId="2615"/>
    <cellStyle name="Percent 2 2 2 2 2" xfId="5425"/>
    <cellStyle name="Percent 2 2 2 2 2 2" xfId="11061"/>
    <cellStyle name="Percent 2 2 2 2 3" xfId="8251"/>
    <cellStyle name="Percent 2 2 2 3" xfId="4024"/>
    <cellStyle name="Percent 2 2 2 3 2" xfId="9660"/>
    <cellStyle name="Percent 2 2 2 4" xfId="6850"/>
    <cellStyle name="Percent 2 2 3" xfId="1919"/>
    <cellStyle name="Percent 2 2 3 2" xfId="4729"/>
    <cellStyle name="Percent 2 2 3 2 2" xfId="10365"/>
    <cellStyle name="Percent 2 2 3 3" xfId="7555"/>
    <cellStyle name="Percent 2 2 4" xfId="3328"/>
    <cellStyle name="Percent 2 2 4 2" xfId="8964"/>
    <cellStyle name="Percent 2 2 5" xfId="6154"/>
    <cellStyle name="Percent 2 3" xfId="870"/>
    <cellStyle name="Percent 2 3 2" xfId="2271"/>
    <cellStyle name="Percent 2 3 2 2" xfId="5081"/>
    <cellStyle name="Percent 2 3 2 2 2" xfId="10717"/>
    <cellStyle name="Percent 2 3 2 3" xfId="7907"/>
    <cellStyle name="Percent 2 3 3" xfId="3680"/>
    <cellStyle name="Percent 2 3 3 2" xfId="9316"/>
    <cellStyle name="Percent 2 3 4" xfId="6506"/>
    <cellStyle name="Percent 2 4" xfId="1575"/>
    <cellStyle name="Percent 2 4 2" xfId="4385"/>
    <cellStyle name="Percent 2 4 2 2" xfId="10021"/>
    <cellStyle name="Percent 2 4 3" xfId="7211"/>
    <cellStyle name="Percent 2 5" xfId="2984"/>
    <cellStyle name="Percent 2 5 2" xfId="8620"/>
    <cellStyle name="Percent 2 6" xfId="5810"/>
    <cellStyle name="Percent 3" xfId="346"/>
    <cellStyle name="Percent 3 2" xfId="1042"/>
    <cellStyle name="Percent 3 2 2" xfId="2443"/>
    <cellStyle name="Percent 3 2 2 2" xfId="5253"/>
    <cellStyle name="Percent 3 2 2 2 2" xfId="10889"/>
    <cellStyle name="Percent 3 2 2 3" xfId="8079"/>
    <cellStyle name="Percent 3 2 3" xfId="3852"/>
    <cellStyle name="Percent 3 2 3 2" xfId="9488"/>
    <cellStyle name="Percent 3 2 4" xfId="6678"/>
    <cellStyle name="Percent 3 3" xfId="1747"/>
    <cellStyle name="Percent 3 3 2" xfId="4557"/>
    <cellStyle name="Percent 3 3 2 2" xfId="10193"/>
    <cellStyle name="Percent 3 3 3" xfId="7383"/>
    <cellStyle name="Percent 3 4" xfId="3156"/>
    <cellStyle name="Percent 3 4 2" xfId="8792"/>
    <cellStyle name="Percent 3 5" xfId="5982"/>
    <cellStyle name="Percent 4" xfId="698"/>
    <cellStyle name="Percent 4 2" xfId="2099"/>
    <cellStyle name="Percent 4 2 2" xfId="4909"/>
    <cellStyle name="Percent 4 2 2 2" xfId="10545"/>
    <cellStyle name="Percent 4 2 3" xfId="7735"/>
    <cellStyle name="Percent 4 3" xfId="3508"/>
    <cellStyle name="Percent 4 3 2" xfId="9144"/>
    <cellStyle name="Percent 4 4" xfId="6334"/>
    <cellStyle name="Percent 5" xfId="1393"/>
    <cellStyle name="Percent 5 2" xfId="2794"/>
    <cellStyle name="Percent 5 2 2" xfId="5604"/>
    <cellStyle name="Percent 5 2 2 2" xfId="11240"/>
    <cellStyle name="Percent 5 2 3" xfId="8430"/>
    <cellStyle name="Percent 5 3" xfId="4203"/>
    <cellStyle name="Percent 5 3 2" xfId="9839"/>
    <cellStyle name="Percent 5 4" xfId="7029"/>
    <cellStyle name="Percent 6" xfId="1403"/>
    <cellStyle name="Percent 6 2" xfId="4213"/>
    <cellStyle name="Percent 6 2 2" xfId="9849"/>
    <cellStyle name="Percent 6 3" xfId="7039"/>
    <cellStyle name="Percent 7" xfId="2803"/>
    <cellStyle name="Percent 7 2" xfId="5613"/>
    <cellStyle name="Percent 7 2 2" xfId="11249"/>
    <cellStyle name="Percent 7 3" xfId="8439"/>
    <cellStyle name="Percent 8" xfId="5638"/>
    <cellStyle name="Pourcentage" xfId="2" builtinId="5"/>
    <cellStyle name="Pourcentage 2" xfId="5628"/>
    <cellStyle name="Pourcentage 2 2" xfId="11264"/>
  </cellStyles>
  <dxfs count="114">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tyles" Target="styles.xml"/><Relationship Id="rId10" Type="http://schemas.openxmlformats.org/officeDocument/2006/relationships/chartsheet" Target="chartsheets/sheet1.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Print_Mois!$AD$498:$AE$498</c:f>
              <c:strCache>
                <c:ptCount val="2"/>
                <c:pt idx="0">
                  <c:v>%vte</c:v>
                </c:pt>
                <c:pt idx="1">
                  <c:v>3,5%</c:v>
                </c:pt>
              </c:strCache>
            </c:strRef>
          </c:tx>
          <c:spPr>
            <a:solidFill>
              <a:schemeClr val="accent1"/>
            </a:solidFill>
            <a:ln>
              <a:noFill/>
            </a:ln>
            <a:effectLst/>
          </c:spPr>
          <c:invertIfNegative val="0"/>
          <c:cat>
            <c:multiLvlStrRef>
              <c:f>Print_Mois!$AF$491:$AL$497</c:f>
              <c:multiLvlStrCache>
                <c:ptCount val="7"/>
                <c:lvl>
                  <c:pt idx="0">
                    <c:v>0   </c:v>
                  </c:pt>
                  <c:pt idx="2">
                    <c:v>0   </c:v>
                  </c:pt>
                  <c:pt idx="3">
                    <c:v>0,0%</c:v>
                  </c:pt>
                  <c:pt idx="6">
                    <c:v>0   </c:v>
                  </c:pt>
                </c:lvl>
                <c:lvl>
                  <c:pt idx="0">
                    <c:v>(1 079  )</c:v>
                  </c:pt>
                  <c:pt idx="2">
                    <c:v>0   </c:v>
                  </c:pt>
                  <c:pt idx="3">
                    <c:v>0,0%</c:v>
                  </c:pt>
                  <c:pt idx="6">
                    <c:v>(2 872  )</c:v>
                  </c:pt>
                </c:lvl>
                <c:lvl>
                  <c:pt idx="0">
                    <c:v>0   </c:v>
                  </c:pt>
                  <c:pt idx="2">
                    <c:v>0   </c:v>
                  </c:pt>
                  <c:pt idx="3">
                    <c:v>0,0%</c:v>
                  </c:pt>
                  <c:pt idx="6">
                    <c:v>0,00   </c:v>
                  </c:pt>
                </c:lvl>
                <c:lvl>
                  <c:pt idx="0">
                    <c:v>0   </c:v>
                  </c:pt>
                  <c:pt idx="2">
                    <c:v>0   </c:v>
                  </c:pt>
                  <c:pt idx="3">
                    <c:v>0,0%</c:v>
                  </c:pt>
                  <c:pt idx="6">
                    <c:v>0   </c:v>
                  </c:pt>
                </c:lvl>
                <c:lvl>
                  <c:pt idx="0">
                    <c:v>0   </c:v>
                  </c:pt>
                  <c:pt idx="2">
                    <c:v>0   </c:v>
                  </c:pt>
                  <c:pt idx="3">
                    <c:v>0,0%</c:v>
                  </c:pt>
                  <c:pt idx="6">
                    <c:v>(667  )</c:v>
                  </c:pt>
                </c:lvl>
                <c:lvl>
                  <c:pt idx="0">
                    <c:v>0   </c:v>
                  </c:pt>
                  <c:pt idx="2">
                    <c:v>0   </c:v>
                  </c:pt>
                  <c:pt idx="3">
                    <c:v>0,0%</c:v>
                  </c:pt>
                  <c:pt idx="6">
                    <c:v>0   </c:v>
                  </c:pt>
                </c:lvl>
                <c:lvl>
                  <c:pt idx="0">
                    <c:v>42 648   </c:v>
                  </c:pt>
                  <c:pt idx="2">
                    <c:v>(1 000  )</c:v>
                  </c:pt>
                  <c:pt idx="3">
                    <c:v>-2,3%</c:v>
                  </c:pt>
                  <c:pt idx="6">
                    <c:v>34 648   </c:v>
                  </c:pt>
                </c:lvl>
              </c:multiLvlStrCache>
            </c:multiLvlStrRef>
          </c:cat>
          <c:val>
            <c:numRef>
              <c:f>Print_Mois!$AF$498:$AL$498</c:f>
              <c:numCache>
                <c:formatCode>#,##0_);\(#,##0\)</c:formatCode>
                <c:ptCount val="7"/>
                <c:pt idx="0">
                  <c:v>237652.77000000025</c:v>
                </c:pt>
                <c:pt idx="2">
                  <c:v>100112.85923944836</c:v>
                </c:pt>
                <c:pt idx="3" formatCode="0.0%">
                  <c:v>0.72788224658469047</c:v>
                </c:pt>
                <c:pt idx="4" formatCode="General">
                  <c:v>0</c:v>
                </c:pt>
                <c:pt idx="5" formatCode="0.0%">
                  <c:v>2.8666988297351162E-2</c:v>
                </c:pt>
                <c:pt idx="6">
                  <c:v>190691.55999999837</c:v>
                </c:pt>
              </c:numCache>
            </c:numRef>
          </c:val>
          <c:extLst xmlns:c16r2="http://schemas.microsoft.com/office/drawing/2015/06/char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76185408"/>
        <c:axId val="176185800"/>
      </c:barChart>
      <c:catAx>
        <c:axId val="17618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6185800"/>
        <c:crosses val="autoZero"/>
        <c:auto val="1"/>
        <c:lblAlgn val="ctr"/>
        <c:lblOffset val="100"/>
        <c:noMultiLvlLbl val="0"/>
      </c:catAx>
      <c:valAx>
        <c:axId val="176185800"/>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76185408"/>
        <c:crosses val="autoZero"/>
        <c:crossBetween val="between"/>
      </c:valAx>
      <c:spPr>
        <a:noFill/>
        <a:ln>
          <a:noFill/>
        </a:ln>
        <a:effectLst/>
      </c:spPr>
    </c:plotArea>
    <c:plotVisOnly val="1"/>
    <c:dispBlanksAs val="gap"/>
    <c:showDLblsOverMax val="0"/>
    <c:extLst xmlns:c16r2="http://schemas.microsoft.com/office/drawing/2015/06/char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r-FR"/>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10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70421" cy="6302523"/>
    <xdr:graphicFrame macro="">
      <xdr:nvGraphicFramePr>
        <xdr:cNvPr id="2" name="Chart 1">
          <a:extLst>
            <a:ext uri="{FF2B5EF4-FFF2-40B4-BE49-F238E27FC236}">
              <a16:creationId xmlns:a16="http://schemas.microsoft.com/office/drawing/2014/main" xmlns=""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8" Type="http://schemas.openxmlformats.org/officeDocument/2006/relationships/hyperlink" Target="mailto:4145@" TargetMode="External"/><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000"/>
  <sheetViews>
    <sheetView workbookViewId="0">
      <selection activeCell="D25" sqref="D25"/>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16</v>
      </c>
      <c r="C3" s="4">
        <f>+VLOOKUP(B3,$K$3:$L$14,2,0)</f>
        <v>7</v>
      </c>
      <c r="G3" s="3" t="s">
        <v>7</v>
      </c>
      <c r="K3" s="5" t="s">
        <v>8</v>
      </c>
      <c r="L3" s="4">
        <v>1</v>
      </c>
      <c r="M3" s="4" t="str">
        <f t="shared" ref="M3:M14" si="0">+IF($K3=$B$3,"X","")</f>
        <v/>
      </c>
      <c r="N3" s="4" t="str">
        <f t="shared" ref="N3:N14" si="1">+IF(K3=B3,"X",IF(L3&lt;=$C$3,"X",""))</f>
        <v>X</v>
      </c>
    </row>
    <row r="4" spans="1:14">
      <c r="A4" s="1" t="s">
        <v>9</v>
      </c>
      <c r="B4" s="2">
        <v>2025</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X</v>
      </c>
      <c r="N9" s="4" t="str">
        <f t="shared" si="1"/>
        <v>X</v>
      </c>
    </row>
    <row r="10" spans="1:14">
      <c r="A10" s="3" t="s">
        <v>17</v>
      </c>
      <c r="I10" s="3"/>
      <c r="K10" s="5" t="s">
        <v>18</v>
      </c>
      <c r="L10" s="4">
        <v>8</v>
      </c>
      <c r="M10" s="4" t="str">
        <f t="shared" si="0"/>
        <v/>
      </c>
      <c r="N10" s="4" t="str">
        <f t="shared" si="1"/>
        <v/>
      </c>
    </row>
    <row r="11" spans="1:14">
      <c r="A11" s="3" t="s">
        <v>19</v>
      </c>
      <c r="I11" s="3"/>
      <c r="K11" s="5" t="s">
        <v>20</v>
      </c>
      <c r="L11" s="4">
        <v>9</v>
      </c>
      <c r="M11" s="4" t="str">
        <f t="shared" si="0"/>
        <v/>
      </c>
      <c r="N11" s="4" t="str">
        <f t="shared" si="1"/>
        <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000"/>
  <sheetViews>
    <sheetView topLeftCell="A34" workbookViewId="0">
      <selection activeCell="A61" sqref="A6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Juillet 2025</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104754.70000000001</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104754.70000000001</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991942.07</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491754.35000000003</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229390</v>
      </c>
      <c r="C10" s="15"/>
      <c r="D10" s="20" t="s">
        <v>33</v>
      </c>
      <c r="E10" s="21">
        <f>-SUMIFS(BV_Data_An_Cour!$P:$P,BV_Data_An_Cour!$U:$U,$A$1,BV_Data_An_Cour!$V:$V,$D10)</f>
        <v>404715.46</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196011.14</v>
      </c>
      <c r="C11" s="15"/>
      <c r="D11" s="20" t="s">
        <v>35</v>
      </c>
      <c r="E11" s="21">
        <f>-SUMIFS(BV_Data_An_Cour!$P:$P,BV_Data_An_Cour!$U:$U,$A$1,BV_Data_An_Cour!$V:$V,$D11)</f>
        <v>72856.789999999979</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113753.84</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10686.27</v>
      </c>
      <c r="C13" s="15"/>
      <c r="D13" s="20" t="s">
        <v>39</v>
      </c>
      <c r="E13" s="21">
        <f>-SUMIFS(BV_Data_An_Cour!$P:$P,BV_Data_An_Cour!$U:$U,$A$1,BV_Data_An_Cour!$V:$V,$D13)</f>
        <v>28850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117631.28</v>
      </c>
      <c r="C14" s="15"/>
      <c r="D14" s="20" t="s">
        <v>41</v>
      </c>
      <c r="E14" s="21">
        <f>-SUMIFS(BV_Data_An_Cour!$P:$P,BV_Data_An_Cour!$U:$U,$A$1,BV_Data_An_Cour!$V:$V,$D14)</f>
        <v>98608.04</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-1665.6499999999996</v>
      </c>
      <c r="C15" s="15"/>
      <c r="D15" s="20" t="s">
        <v>43</v>
      </c>
      <c r="E15" s="21">
        <f>-SUMIFS(BV_Data_An_Cour!$P:$P,BV_Data_An_Cour!$U:$U,$A$1,BV_Data_An_Cour!$V:$V,$D15)</f>
        <v>521616</v>
      </c>
      <c r="F15" s="3"/>
      <c r="G15" s="3"/>
      <c r="H15" s="3"/>
      <c r="I15" s="3"/>
      <c r="J15" s="3"/>
      <c r="K15" s="3"/>
      <c r="L15" s="3"/>
      <c r="M15" s="3"/>
      <c r="N15" s="3"/>
      <c r="O15" s="3"/>
      <c r="P15" s="3"/>
      <c r="Q15" s="3"/>
      <c r="R15" s="3"/>
      <c r="S15" s="3"/>
      <c r="T15" s="3"/>
      <c r="U15" s="3"/>
      <c r="V15" s="3"/>
      <c r="W15" s="3"/>
      <c r="X15" s="3"/>
      <c r="Y15" s="3"/>
    </row>
    <row r="16" spans="1:25">
      <c r="A16" s="17" t="s">
        <v>44</v>
      </c>
      <c r="B16" s="18">
        <f>+SUM(B8:B15)</f>
        <v>2149503.3000000003</v>
      </c>
      <c r="C16" s="19"/>
      <c r="D16" s="17" t="s">
        <v>45</v>
      </c>
      <c r="E16" s="18">
        <f>+SUM(E10:E15)</f>
        <v>1126646.29</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4980838.03</v>
      </c>
      <c r="C18" s="15"/>
      <c r="D18" s="20" t="s">
        <v>47</v>
      </c>
      <c r="E18" s="21">
        <f>-SUMIFS(BV_Data_An_Cour!$P:$P,BV_Data_An_Cour!$U:$U,$A$1,BV_Data_An_Cour!$V:$V,$D18)</f>
        <v>6607400.0999999996</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1775371.09</v>
      </c>
      <c r="C19" s="15"/>
      <c r="D19" s="20" t="s">
        <v>49</v>
      </c>
      <c r="E19" s="21">
        <f>-SUMIFS(BV_Data_An_Cour!$P:$P,BV_Data_An_Cour!$U:$U,$A$1,BV_Data_An_Cour!$V:$V,$D19)</f>
        <v>614115.28</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573866.21</v>
      </c>
      <c r="C20" s="15"/>
      <c r="D20" s="17" t="s">
        <v>51</v>
      </c>
      <c r="E20" s="18">
        <f>+SUM(E18:E19)</f>
        <v>7221515.3799999999</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7330075.3300000001</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473403.06</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-10796.080000000004</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12303.47</v>
      </c>
      <c r="C24" s="15"/>
      <c r="D24" s="20" t="s">
        <v>57</v>
      </c>
      <c r="E24" s="21">
        <f>-SUMIFS(BV_Data_An_Cour!$P:$P,BV_Data_An_Cour!$U:$U,$A$1,BV_Data_An_Cour!$V:$V,$D24)</f>
        <v>446733.66000000003</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-28170.959999999999</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-7604.539999999979</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909340.64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-23472.029999999977</v>
      </c>
      <c r="C30" s="19"/>
      <c r="D30" s="23" t="s">
        <v>63</v>
      </c>
      <c r="E30" s="24">
        <f>+E5+E7+E16+E20+E28</f>
        <v>9257502.3100000005</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9560861.3000000007</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-8394.3699999999881</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385618.81999999995</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30124.809999999998</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60720.809999999983</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6327.0100000000093</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474397.07999999996</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9257502.3100000005</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2323600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-1319808.4300000004</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2797997.08</v>
      </c>
      <c r="C53" s="19"/>
      <c r="D53" s="23" t="s">
        <v>89</v>
      </c>
      <c r="E53" s="24">
        <f>SUM(E48:E51)</f>
        <v>3101356.0699999994</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12358858.380000001</v>
      </c>
      <c r="C56" s="19"/>
      <c r="D56" s="23" t="s">
        <v>91</v>
      </c>
      <c r="E56" s="24">
        <f>+E53+E45</f>
        <v>12358858.379999999</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0</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10" zoomScale="80" zoomScaleNormal="80" workbookViewId="0">
      <selection activeCell="C505" sqref="C505"/>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2025</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42012201.801665038</v>
      </c>
      <c r="F8" s="735"/>
      <c r="G8" s="736"/>
      <c r="H8" s="738">
        <v>2738793.1171082277</v>
      </c>
      <c r="I8" s="735"/>
      <c r="J8" s="736"/>
      <c r="K8" s="738">
        <v>2857429.7225132226</v>
      </c>
      <c r="L8" s="735"/>
      <c r="M8" s="736"/>
      <c r="N8" s="738">
        <v>3142915.1351248776</v>
      </c>
      <c r="O8" s="735"/>
      <c r="P8" s="736"/>
      <c r="Q8" s="738">
        <v>3150915.1351248776</v>
      </c>
      <c r="R8" s="735"/>
      <c r="S8" s="736"/>
      <c r="T8" s="738">
        <v>3234339.5387282078</v>
      </c>
      <c r="U8" s="735"/>
      <c r="V8" s="736"/>
      <c r="W8" s="738">
        <v>3782098.1621498531</v>
      </c>
      <c r="X8" s="735"/>
      <c r="Y8" s="736"/>
      <c r="Z8" s="738">
        <v>3782098.1621498531</v>
      </c>
      <c r="AA8" s="735"/>
      <c r="AB8" s="736"/>
      <c r="AC8" s="738">
        <v>4621342.1981831538</v>
      </c>
      <c r="AD8" s="735"/>
      <c r="AE8" s="736"/>
      <c r="AF8" s="738">
        <v>3359976.1441332032</v>
      </c>
      <c r="AG8" s="735"/>
      <c r="AH8" s="736"/>
      <c r="AI8" s="738">
        <v>3781098.1621498531</v>
      </c>
      <c r="AJ8" s="735"/>
      <c r="AK8" s="736"/>
      <c r="AL8" s="738">
        <v>4620342.1981831538</v>
      </c>
      <c r="AM8" s="735"/>
      <c r="AN8" s="736"/>
      <c r="AO8" s="738">
        <v>2940854.1261165529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206</v>
      </c>
      <c r="D9" s="740">
        <v>1953.6491683802797</v>
      </c>
      <c r="E9" s="741">
        <v>402451.72868633759</v>
      </c>
      <c r="F9" s="742">
        <v>15</v>
      </c>
      <c r="G9" s="740">
        <v>1953.6491683802794</v>
      </c>
      <c r="H9" s="743">
        <v>29304.737525704193</v>
      </c>
      <c r="I9" s="742">
        <v>14</v>
      </c>
      <c r="J9" s="740">
        <v>1953.6491683802797</v>
      </c>
      <c r="K9" s="743">
        <v>27351.088357323915</v>
      </c>
      <c r="L9" s="742">
        <v>13</v>
      </c>
      <c r="M9" s="740">
        <v>1953.6491683802799</v>
      </c>
      <c r="N9" s="743">
        <v>25397.439188943637</v>
      </c>
      <c r="O9" s="742">
        <v>15</v>
      </c>
      <c r="P9" s="740">
        <v>1953.6491683802794</v>
      </c>
      <c r="Q9" s="743">
        <v>29304.737525704193</v>
      </c>
      <c r="R9" s="742">
        <v>16</v>
      </c>
      <c r="S9" s="740">
        <v>1953.6491683802797</v>
      </c>
      <c r="T9" s="743">
        <v>31258.386694084475</v>
      </c>
      <c r="U9" s="742">
        <v>19</v>
      </c>
      <c r="V9" s="740">
        <v>1953.6491683802797</v>
      </c>
      <c r="W9" s="743">
        <v>37119.334199225312</v>
      </c>
      <c r="X9" s="742">
        <v>19</v>
      </c>
      <c r="Y9" s="740">
        <v>1953.6491683802797</v>
      </c>
      <c r="Z9" s="743">
        <v>37119.334199225312</v>
      </c>
      <c r="AA9" s="742">
        <v>23</v>
      </c>
      <c r="AB9" s="740">
        <v>1953.6491683802797</v>
      </c>
      <c r="AC9" s="743">
        <v>44933.93087274643</v>
      </c>
      <c r="AD9" s="742">
        <v>16</v>
      </c>
      <c r="AE9" s="740">
        <v>1953.6491683802797</v>
      </c>
      <c r="AF9" s="743">
        <v>31258.386694084475</v>
      </c>
      <c r="AG9" s="742">
        <v>19</v>
      </c>
      <c r="AH9" s="740">
        <v>1953.6491683802797</v>
      </c>
      <c r="AI9" s="743">
        <v>37119.334199225312</v>
      </c>
      <c r="AJ9" s="742">
        <v>23</v>
      </c>
      <c r="AK9" s="740">
        <v>1953.6491683802797</v>
      </c>
      <c r="AL9" s="743">
        <v>44933.93087274643</v>
      </c>
      <c r="AM9" s="742">
        <v>14</v>
      </c>
      <c r="AN9" s="740">
        <v>1953.6491683802797</v>
      </c>
      <c r="AO9" s="743">
        <v>27351.088357323915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555</v>
      </c>
      <c r="D10" s="740">
        <v>2435.9046775963693</v>
      </c>
      <c r="E10" s="741">
        <v>1351927.096065985</v>
      </c>
      <c r="F10" s="742">
        <v>42</v>
      </c>
      <c r="G10" s="740">
        <v>2435.9046775963693</v>
      </c>
      <c r="H10" s="743">
        <v>102307.99645904751</v>
      </c>
      <c r="I10" s="742">
        <v>38</v>
      </c>
      <c r="J10" s="740">
        <v>2435.9046775963693</v>
      </c>
      <c r="K10" s="743">
        <v>92564.377748662038</v>
      </c>
      <c r="L10" s="742">
        <v>36</v>
      </c>
      <c r="M10" s="740">
        <v>2435.9046775963693</v>
      </c>
      <c r="N10" s="743">
        <v>87692.568393469293</v>
      </c>
      <c r="O10" s="742">
        <v>42</v>
      </c>
      <c r="P10" s="740">
        <v>2435.9046775963693</v>
      </c>
      <c r="Q10" s="743">
        <v>102307.99645904751</v>
      </c>
      <c r="R10" s="742">
        <v>43</v>
      </c>
      <c r="S10" s="740">
        <v>2435.9046775963693</v>
      </c>
      <c r="T10" s="743">
        <v>104743.90113664388</v>
      </c>
      <c r="U10" s="742">
        <v>50</v>
      </c>
      <c r="V10" s="740">
        <v>2435.9046775963693</v>
      </c>
      <c r="W10" s="743">
        <v>121795.23387981846</v>
      </c>
      <c r="X10" s="742">
        <v>50</v>
      </c>
      <c r="Y10" s="740">
        <v>2435.9046775963693</v>
      </c>
      <c r="Z10" s="743">
        <v>121795.23387981846</v>
      </c>
      <c r="AA10" s="742">
        <v>61</v>
      </c>
      <c r="AB10" s="740">
        <v>2435.9046775963693</v>
      </c>
      <c r="AC10" s="743">
        <v>148590.18533337853</v>
      </c>
      <c r="AD10" s="742">
        <v>44</v>
      </c>
      <c r="AE10" s="740">
        <v>2435.9046775963693</v>
      </c>
      <c r="AF10" s="743">
        <v>107179.80581424024</v>
      </c>
      <c r="AG10" s="742">
        <v>50</v>
      </c>
      <c r="AH10" s="740">
        <v>2435.9046775963693</v>
      </c>
      <c r="AI10" s="743">
        <v>121795.23387981846</v>
      </c>
      <c r="AJ10" s="742">
        <v>60</v>
      </c>
      <c r="AK10" s="740">
        <v>2435.9046775963693</v>
      </c>
      <c r="AL10" s="743">
        <v>146154.28065578215</v>
      </c>
      <c r="AM10" s="742">
        <v>39</v>
      </c>
      <c r="AN10" s="740">
        <v>2435.9046775963693</v>
      </c>
      <c r="AO10" s="743">
        <v>95000.282426258404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761</v>
      </c>
      <c r="D16" s="745">
        <v>2305.3598222763767</v>
      </c>
      <c r="E16" s="746">
        <v>1754378.8247523226</v>
      </c>
      <c r="F16" s="744">
        <v>57</v>
      </c>
      <c r="G16" s="745">
        <v>2308.9953330658195</v>
      </c>
      <c r="H16" s="746">
        <v>131612.73398475171</v>
      </c>
      <c r="I16" s="744">
        <v>52</v>
      </c>
      <c r="J16" s="745">
        <v>2306.066655884345</v>
      </c>
      <c r="K16" s="746">
        <v>119915.46610598595</v>
      </c>
      <c r="L16" s="744">
        <v>49</v>
      </c>
      <c r="M16" s="745">
        <v>2307.9593384165905</v>
      </c>
      <c r="N16" s="746">
        <v>113090.00758241293</v>
      </c>
      <c r="O16" s="744">
        <v>57</v>
      </c>
      <c r="P16" s="745">
        <v>2308.9953330658195</v>
      </c>
      <c r="Q16" s="746">
        <v>131612.73398475171</v>
      </c>
      <c r="R16" s="744">
        <v>59</v>
      </c>
      <c r="S16" s="745">
        <v>2305.1235225547175</v>
      </c>
      <c r="T16" s="746">
        <v>136002.28783072834</v>
      </c>
      <c r="U16" s="744">
        <v>69</v>
      </c>
      <c r="V16" s="745">
        <v>2303.109682304982</v>
      </c>
      <c r="W16" s="746">
        <v>158914.56807904376</v>
      </c>
      <c r="X16" s="744">
        <v>69</v>
      </c>
      <c r="Y16" s="745">
        <v>2303.109682304982</v>
      </c>
      <c r="Z16" s="746">
        <v>158914.56807904376</v>
      </c>
      <c r="AA16" s="744">
        <v>84</v>
      </c>
      <c r="AB16" s="745">
        <v>2303.8585262633924</v>
      </c>
      <c r="AC16" s="746">
        <v>193524.11620612495</v>
      </c>
      <c r="AD16" s="744">
        <v>60</v>
      </c>
      <c r="AE16" s="745">
        <v>2307.3032084720785</v>
      </c>
      <c r="AF16" s="746">
        <v>138438.19250832472</v>
      </c>
      <c r="AG16" s="744">
        <v>69</v>
      </c>
      <c r="AH16" s="745">
        <v>2303.109682304982</v>
      </c>
      <c r="AI16" s="746">
        <v>158914.56807904376</v>
      </c>
      <c r="AJ16" s="744">
        <v>83</v>
      </c>
      <c r="AK16" s="745">
        <v>2302.2676087774526</v>
      </c>
      <c r="AL16" s="746">
        <v>191088.21152852857</v>
      </c>
      <c r="AM16" s="744">
        <v>53</v>
      </c>
      <c r="AN16" s="745">
        <v>2308.5164298789118</v>
      </c>
      <c r="AO16" s="746">
        <v>122351.37078358232</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39</v>
      </c>
      <c r="D18" s="750">
        <v>1534.7521433415677</v>
      </c>
      <c r="E18" s="751">
        <v>59855.333590321141</v>
      </c>
      <c r="F18" s="752">
        <v>3</v>
      </c>
      <c r="G18" s="750">
        <v>1534.7521433415677</v>
      </c>
      <c r="H18" s="753">
        <v>4604.2564300247031</v>
      </c>
      <c r="I18" s="752">
        <v>3</v>
      </c>
      <c r="J18" s="750">
        <v>1534.7521433415677</v>
      </c>
      <c r="K18" s="753">
        <v>4604.2564300247031</v>
      </c>
      <c r="L18" s="752">
        <v>3</v>
      </c>
      <c r="M18" s="750">
        <v>1534.7521433415677</v>
      </c>
      <c r="N18" s="753">
        <v>4604.2564300247031</v>
      </c>
      <c r="O18" s="752">
        <v>3</v>
      </c>
      <c r="P18" s="750">
        <v>1534.7521433415677</v>
      </c>
      <c r="Q18" s="753">
        <v>4604.2564300247031</v>
      </c>
      <c r="R18" s="752">
        <v>2</v>
      </c>
      <c r="S18" s="750">
        <v>1534.7521433415677</v>
      </c>
      <c r="T18" s="753">
        <v>3069.5042866831354</v>
      </c>
      <c r="U18" s="752">
        <v>4</v>
      </c>
      <c r="V18" s="750">
        <v>1534.7521433415677</v>
      </c>
      <c r="W18" s="753">
        <v>6139.0085733662709</v>
      </c>
      <c r="X18" s="752">
        <v>4</v>
      </c>
      <c r="Y18" s="750">
        <v>1534.7521433415677</v>
      </c>
      <c r="Z18" s="753">
        <v>6139.0085733662709</v>
      </c>
      <c r="AA18" s="752">
        <v>4</v>
      </c>
      <c r="AB18" s="750">
        <v>1534.7521433415677</v>
      </c>
      <c r="AC18" s="753">
        <v>6139.0085733662709</v>
      </c>
      <c r="AD18" s="752">
        <v>3</v>
      </c>
      <c r="AE18" s="750">
        <v>1534.7521433415677</v>
      </c>
      <c r="AF18" s="753">
        <v>4604.2564300247031</v>
      </c>
      <c r="AG18" s="752">
        <v>3</v>
      </c>
      <c r="AH18" s="750">
        <v>1534.7521433415677</v>
      </c>
      <c r="AI18" s="753">
        <v>4604.2564300247031</v>
      </c>
      <c r="AJ18" s="752">
        <v>4</v>
      </c>
      <c r="AK18" s="750">
        <v>1534.7521433415677</v>
      </c>
      <c r="AL18" s="753">
        <v>6139.0085733662709</v>
      </c>
      <c r="AM18" s="752">
        <v>3</v>
      </c>
      <c r="AN18" s="750">
        <v>1534.7521433415677</v>
      </c>
      <c r="AO18" s="753">
        <v>4604.2564300247031</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2393.8521192147823</v>
      </c>
      <c r="E20" s="741">
        <v>47877.042384295644</v>
      </c>
      <c r="F20" s="742">
        <v>1</v>
      </c>
      <c r="G20" s="740">
        <v>2393.8521192147828</v>
      </c>
      <c r="H20" s="743">
        <v>2393.8521192147828</v>
      </c>
      <c r="I20" s="742">
        <v>1</v>
      </c>
      <c r="J20" s="740">
        <v>2393.8521192147828</v>
      </c>
      <c r="K20" s="743">
        <v>2393.8521192147828</v>
      </c>
      <c r="L20" s="742">
        <v>1</v>
      </c>
      <c r="M20" s="740">
        <v>2393.8521192147828</v>
      </c>
      <c r="N20" s="743">
        <v>2393.8521192147828</v>
      </c>
      <c r="O20" s="742">
        <v>2</v>
      </c>
      <c r="P20" s="740">
        <v>2393.8521192147828</v>
      </c>
      <c r="Q20" s="743">
        <v>4787.7042384295655</v>
      </c>
      <c r="R20" s="742">
        <v>2</v>
      </c>
      <c r="S20" s="740">
        <v>2393.8521192147828</v>
      </c>
      <c r="T20" s="743">
        <v>4787.7042384295655</v>
      </c>
      <c r="U20" s="742">
        <v>2</v>
      </c>
      <c r="V20" s="740">
        <v>2393.8521192147828</v>
      </c>
      <c r="W20" s="743">
        <v>4787.7042384295655</v>
      </c>
      <c r="X20" s="742">
        <v>2</v>
      </c>
      <c r="Y20" s="740">
        <v>2393.8521192147828</v>
      </c>
      <c r="Z20" s="743">
        <v>4787.7042384295655</v>
      </c>
      <c r="AA20" s="742">
        <v>2</v>
      </c>
      <c r="AB20" s="740">
        <v>2393.8521192147828</v>
      </c>
      <c r="AC20" s="743">
        <v>4787.7042384295655</v>
      </c>
      <c r="AD20" s="742">
        <v>2</v>
      </c>
      <c r="AE20" s="740">
        <v>2393.8521192147828</v>
      </c>
      <c r="AF20" s="743">
        <v>4787.7042384295655</v>
      </c>
      <c r="AG20" s="742">
        <v>2</v>
      </c>
      <c r="AH20" s="740">
        <v>2393.8521192147828</v>
      </c>
      <c r="AI20" s="743">
        <v>4787.7042384295655</v>
      </c>
      <c r="AJ20" s="742">
        <v>2</v>
      </c>
      <c r="AK20" s="740">
        <v>2393.8521192147828</v>
      </c>
      <c r="AL20" s="743">
        <v>4787.7042384295655</v>
      </c>
      <c r="AM20" s="742">
        <v>1</v>
      </c>
      <c r="AN20" s="740">
        <v>2393.8521192147828</v>
      </c>
      <c r="AO20" s="743">
        <v>2393.8521192147828</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85000</v>
      </c>
      <c r="F22" s="739"/>
      <c r="G22" s="740"/>
      <c r="H22" s="743">
        <v>5525</v>
      </c>
      <c r="I22" s="739"/>
      <c r="J22" s="740"/>
      <c r="K22" s="743">
        <v>5780</v>
      </c>
      <c r="L22" s="739"/>
      <c r="M22" s="740"/>
      <c r="N22" s="743">
        <v>6375</v>
      </c>
      <c r="O22" s="739"/>
      <c r="P22" s="740"/>
      <c r="Q22" s="743">
        <v>6375</v>
      </c>
      <c r="R22" s="739"/>
      <c r="S22" s="740"/>
      <c r="T22" s="743">
        <v>6545</v>
      </c>
      <c r="U22" s="739"/>
      <c r="V22" s="740"/>
      <c r="W22" s="743">
        <v>7650</v>
      </c>
      <c r="X22" s="739"/>
      <c r="Y22" s="740"/>
      <c r="Z22" s="743">
        <v>7650</v>
      </c>
      <c r="AA22" s="739"/>
      <c r="AB22" s="740"/>
      <c r="AC22" s="743">
        <v>9350</v>
      </c>
      <c r="AD22" s="739"/>
      <c r="AE22" s="740"/>
      <c r="AF22" s="743">
        <v>6800</v>
      </c>
      <c r="AG22" s="739"/>
      <c r="AH22" s="740"/>
      <c r="AI22" s="743">
        <v>7650</v>
      </c>
      <c r="AJ22" s="739"/>
      <c r="AK22" s="740"/>
      <c r="AL22" s="743">
        <v>9350</v>
      </c>
      <c r="AM22" s="739"/>
      <c r="AN22" s="740"/>
      <c r="AO22" s="743">
        <v>5950.0000000000009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50</v>
      </c>
      <c r="E24" s="741">
        <v>40000</v>
      </c>
      <c r="F24" s="742"/>
      <c r="G24" s="740">
        <v>50</v>
      </c>
      <c r="H24" s="743">
        <v>3000</v>
      </c>
      <c r="I24" s="742"/>
      <c r="J24" s="740">
        <v>50</v>
      </c>
      <c r="K24" s="743">
        <v>2750</v>
      </c>
      <c r="L24" s="742"/>
      <c r="M24" s="740">
        <v>50</v>
      </c>
      <c r="N24" s="743">
        <v>2600</v>
      </c>
      <c r="O24" s="742"/>
      <c r="P24" s="740">
        <v>50</v>
      </c>
      <c r="Q24" s="743">
        <v>3000</v>
      </c>
      <c r="R24" s="742"/>
      <c r="S24" s="740">
        <v>50</v>
      </c>
      <c r="T24" s="743">
        <v>3050</v>
      </c>
      <c r="U24" s="742"/>
      <c r="V24" s="740">
        <v>50</v>
      </c>
      <c r="W24" s="743">
        <v>3650</v>
      </c>
      <c r="X24" s="742"/>
      <c r="Y24" s="740">
        <v>50</v>
      </c>
      <c r="Z24" s="743">
        <v>3650</v>
      </c>
      <c r="AA24" s="742"/>
      <c r="AB24" s="740">
        <v>50</v>
      </c>
      <c r="AC24" s="743">
        <v>4400</v>
      </c>
      <c r="AD24" s="742"/>
      <c r="AE24" s="740">
        <v>50</v>
      </c>
      <c r="AF24" s="743">
        <v>3150</v>
      </c>
      <c r="AG24" s="742"/>
      <c r="AH24" s="740">
        <v>50</v>
      </c>
      <c r="AI24" s="743">
        <v>3600</v>
      </c>
      <c r="AJ24" s="742"/>
      <c r="AK24" s="740">
        <v>50</v>
      </c>
      <c r="AL24" s="743">
        <v>4350</v>
      </c>
      <c r="AM24" s="742"/>
      <c r="AN24" s="740">
        <v>50</v>
      </c>
      <c r="AO24" s="743">
        <v>2800</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930</v>
      </c>
      <c r="E25" s="741">
        <v>744000</v>
      </c>
      <c r="F25" s="742"/>
      <c r="G25" s="740">
        <v>930</v>
      </c>
      <c r="H25" s="743">
        <v>55800</v>
      </c>
      <c r="I25" s="742"/>
      <c r="J25" s="740">
        <v>930</v>
      </c>
      <c r="K25" s="743">
        <v>51150</v>
      </c>
      <c r="L25" s="742"/>
      <c r="M25" s="740">
        <v>930</v>
      </c>
      <c r="N25" s="743">
        <v>48360</v>
      </c>
      <c r="O25" s="742"/>
      <c r="P25" s="740">
        <v>930</v>
      </c>
      <c r="Q25" s="743">
        <v>55800</v>
      </c>
      <c r="R25" s="742"/>
      <c r="S25" s="740">
        <v>930</v>
      </c>
      <c r="T25" s="743">
        <v>56730</v>
      </c>
      <c r="U25" s="742"/>
      <c r="V25" s="740">
        <v>930</v>
      </c>
      <c r="W25" s="743">
        <v>67890</v>
      </c>
      <c r="X25" s="742"/>
      <c r="Y25" s="740">
        <v>930</v>
      </c>
      <c r="Z25" s="743">
        <v>67890</v>
      </c>
      <c r="AA25" s="742"/>
      <c r="AB25" s="740">
        <v>930</v>
      </c>
      <c r="AC25" s="743">
        <v>81840</v>
      </c>
      <c r="AD25" s="742"/>
      <c r="AE25" s="740">
        <v>930</v>
      </c>
      <c r="AF25" s="743">
        <v>58590</v>
      </c>
      <c r="AG25" s="742"/>
      <c r="AH25" s="740">
        <v>930</v>
      </c>
      <c r="AI25" s="743">
        <v>66960</v>
      </c>
      <c r="AJ25" s="742"/>
      <c r="AK25" s="740">
        <v>930</v>
      </c>
      <c r="AL25" s="743">
        <v>80910</v>
      </c>
      <c r="AM25" s="742"/>
      <c r="AN25" s="740">
        <v>930</v>
      </c>
      <c r="AO25" s="743">
        <v>52080</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v>
      </c>
      <c r="E26" s="741">
        <v>16000</v>
      </c>
      <c r="F26" s="742"/>
      <c r="G26" s="740">
        <v>20</v>
      </c>
      <c r="H26" s="743">
        <v>1200</v>
      </c>
      <c r="I26" s="742"/>
      <c r="J26" s="740">
        <v>20</v>
      </c>
      <c r="K26" s="743">
        <v>1100</v>
      </c>
      <c r="L26" s="742"/>
      <c r="M26" s="740">
        <v>20</v>
      </c>
      <c r="N26" s="743">
        <v>1040</v>
      </c>
      <c r="O26" s="742"/>
      <c r="P26" s="740">
        <v>20</v>
      </c>
      <c r="Q26" s="743">
        <v>1200</v>
      </c>
      <c r="R26" s="742"/>
      <c r="S26" s="740">
        <v>20</v>
      </c>
      <c r="T26" s="743">
        <v>1220</v>
      </c>
      <c r="U26" s="742"/>
      <c r="V26" s="740">
        <v>20</v>
      </c>
      <c r="W26" s="743">
        <v>1460</v>
      </c>
      <c r="X26" s="742"/>
      <c r="Y26" s="740">
        <v>20</v>
      </c>
      <c r="Z26" s="743">
        <v>1460</v>
      </c>
      <c r="AA26" s="742"/>
      <c r="AB26" s="740">
        <v>20</v>
      </c>
      <c r="AC26" s="743">
        <v>1760</v>
      </c>
      <c r="AD26" s="742"/>
      <c r="AE26" s="740">
        <v>20</v>
      </c>
      <c r="AF26" s="743">
        <v>1260</v>
      </c>
      <c r="AG26" s="742"/>
      <c r="AH26" s="740">
        <v>20</v>
      </c>
      <c r="AI26" s="743">
        <v>1440</v>
      </c>
      <c r="AJ26" s="742"/>
      <c r="AK26" s="740">
        <v>20</v>
      </c>
      <c r="AL26" s="743">
        <v>1740</v>
      </c>
      <c r="AM26" s="742"/>
      <c r="AN26" s="740">
        <v>20</v>
      </c>
      <c r="AO26" s="743">
        <v>1120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800</v>
      </c>
      <c r="D27" s="745">
        <v>1000</v>
      </c>
      <c r="E27" s="746">
        <v>800000</v>
      </c>
      <c r="F27" s="744">
        <v>60</v>
      </c>
      <c r="G27" s="745">
        <v>1000</v>
      </c>
      <c r="H27" s="746">
        <v>60000</v>
      </c>
      <c r="I27" s="744">
        <v>55</v>
      </c>
      <c r="J27" s="745">
        <v>1000</v>
      </c>
      <c r="K27" s="746">
        <v>55000</v>
      </c>
      <c r="L27" s="744">
        <v>52</v>
      </c>
      <c r="M27" s="745">
        <v>1000</v>
      </c>
      <c r="N27" s="746">
        <v>52000</v>
      </c>
      <c r="O27" s="744">
        <v>60</v>
      </c>
      <c r="P27" s="745">
        <v>1000</v>
      </c>
      <c r="Q27" s="746">
        <v>60000</v>
      </c>
      <c r="R27" s="744">
        <v>61</v>
      </c>
      <c r="S27" s="745">
        <v>1000</v>
      </c>
      <c r="T27" s="746">
        <v>61000</v>
      </c>
      <c r="U27" s="744">
        <v>73</v>
      </c>
      <c r="V27" s="745">
        <v>1000</v>
      </c>
      <c r="W27" s="746">
        <v>73000</v>
      </c>
      <c r="X27" s="744">
        <v>73</v>
      </c>
      <c r="Y27" s="745">
        <v>1000</v>
      </c>
      <c r="Z27" s="746">
        <v>73000</v>
      </c>
      <c r="AA27" s="744">
        <v>88</v>
      </c>
      <c r="AB27" s="745">
        <v>1000</v>
      </c>
      <c r="AC27" s="746">
        <v>88000</v>
      </c>
      <c r="AD27" s="744">
        <v>63</v>
      </c>
      <c r="AE27" s="745">
        <v>1000</v>
      </c>
      <c r="AF27" s="746">
        <v>63000</v>
      </c>
      <c r="AG27" s="744">
        <v>72</v>
      </c>
      <c r="AH27" s="745">
        <v>1000</v>
      </c>
      <c r="AI27" s="746">
        <v>72000</v>
      </c>
      <c r="AJ27" s="744">
        <v>87</v>
      </c>
      <c r="AK27" s="745">
        <v>1000</v>
      </c>
      <c r="AL27" s="746">
        <v>87000</v>
      </c>
      <c r="AM27" s="744">
        <v>56</v>
      </c>
      <c r="AN27" s="745">
        <v>1000</v>
      </c>
      <c r="AO27" s="746">
        <v>56000</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820</v>
      </c>
      <c r="D30" s="760">
        <v>3350.1356106426092</v>
      </c>
      <c r="E30" s="761">
        <v>2747111.2007269394</v>
      </c>
      <c r="F30" s="759">
        <v>61</v>
      </c>
      <c r="G30" s="760">
        <v>3346.4892218687082</v>
      </c>
      <c r="H30" s="761">
        <v>204135.84253399121</v>
      </c>
      <c r="I30" s="759">
        <v>56</v>
      </c>
      <c r="J30" s="760">
        <v>3351.6709759861687</v>
      </c>
      <c r="K30" s="761">
        <v>187693.57465522544</v>
      </c>
      <c r="L30" s="759">
        <v>53</v>
      </c>
      <c r="M30" s="760">
        <v>3367.2286062575931</v>
      </c>
      <c r="N30" s="761">
        <v>178463.11613165244</v>
      </c>
      <c r="O30" s="759">
        <v>62</v>
      </c>
      <c r="P30" s="760">
        <v>3344.8337847291286</v>
      </c>
      <c r="Q30" s="761">
        <v>207379.69465320598</v>
      </c>
      <c r="R30" s="759">
        <v>63</v>
      </c>
      <c r="S30" s="760">
        <v>3355.6269262831911</v>
      </c>
      <c r="T30" s="761">
        <v>211404.49635584105</v>
      </c>
      <c r="U30" s="759">
        <v>75</v>
      </c>
      <c r="V30" s="760">
        <v>3339.8837452111948</v>
      </c>
      <c r="W30" s="761">
        <v>250491.28089083961</v>
      </c>
      <c r="X30" s="759">
        <v>75</v>
      </c>
      <c r="Y30" s="760">
        <v>3339.8837452111948</v>
      </c>
      <c r="Z30" s="761">
        <v>250491.28089083961</v>
      </c>
      <c r="AA30" s="759">
        <v>90</v>
      </c>
      <c r="AB30" s="760">
        <v>3353.3425446435649</v>
      </c>
      <c r="AC30" s="761">
        <v>301800.82901792083</v>
      </c>
      <c r="AD30" s="759">
        <v>65</v>
      </c>
      <c r="AE30" s="760">
        <v>3348.1562027196769</v>
      </c>
      <c r="AF30" s="761">
        <v>217630.15317677899</v>
      </c>
      <c r="AG30" s="759">
        <v>74</v>
      </c>
      <c r="AH30" s="760">
        <v>3350.7639019932171</v>
      </c>
      <c r="AI30" s="761">
        <v>247956.52874749806</v>
      </c>
      <c r="AJ30" s="759">
        <v>89</v>
      </c>
      <c r="AK30" s="760">
        <v>3352.4148802283644</v>
      </c>
      <c r="AL30" s="761">
        <v>298364.92434032442</v>
      </c>
      <c r="AM30" s="759">
        <v>57</v>
      </c>
      <c r="AN30" s="760">
        <v>3356.1312163652947</v>
      </c>
      <c r="AO30" s="761">
        <v>191299.47933282179</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0.3299999999999999</v>
      </c>
      <c r="D34" s="770">
        <v>748.37159031634042</v>
      </c>
      <c r="E34" s="758">
        <v>598697.27225307235</v>
      </c>
      <c r="F34" s="769">
        <v>0.33900478622949964</v>
      </c>
      <c r="G34" s="770">
        <v>769.63686193978481</v>
      </c>
      <c r="H34" s="771">
        <v>46178.211716387086</v>
      </c>
      <c r="I34" s="769">
        <v>0.3335806878178777</v>
      </c>
      <c r="J34" s="770">
        <v>755.22499437188583</v>
      </c>
      <c r="K34" s="771">
        <v>41537.374690453718</v>
      </c>
      <c r="L34" s="769">
        <v>0.33665933346340871</v>
      </c>
      <c r="M34" s="770">
        <v>761.9783168248789</v>
      </c>
      <c r="N34" s="771">
        <v>39622.872474893702</v>
      </c>
      <c r="O34" s="769">
        <v>0.33304493795843365</v>
      </c>
      <c r="P34" s="770">
        <v>756.10631869289614</v>
      </c>
      <c r="Q34" s="771">
        <v>45366.379121573766</v>
      </c>
      <c r="R34" s="769">
        <v>0.34122337682034687</v>
      </c>
      <c r="S34" s="770">
        <v>777.94338568459739</v>
      </c>
      <c r="T34" s="771">
        <v>47454.546526760438</v>
      </c>
      <c r="U34" s="769">
        <v>0.32512203902136383</v>
      </c>
      <c r="V34" s="770">
        <v>735.10349847945918</v>
      </c>
      <c r="W34" s="771">
        <v>53662.555389000518</v>
      </c>
      <c r="X34" s="769">
        <v>0.32512203902136383</v>
      </c>
      <c r="Y34" s="770">
        <v>735.10349847945918</v>
      </c>
      <c r="Z34" s="771">
        <v>53662.555389000518</v>
      </c>
      <c r="AA34" s="769">
        <v>0.3239710213803329</v>
      </c>
      <c r="AB34" s="770">
        <v>735.05757348637064</v>
      </c>
      <c r="AC34" s="771">
        <v>64685.066466800621</v>
      </c>
      <c r="AD34" s="769">
        <v>0.33053741520820579</v>
      </c>
      <c r="AE34" s="770">
        <v>750.49017995450447</v>
      </c>
      <c r="AF34" s="771">
        <v>47280.881337133782</v>
      </c>
      <c r="AG34" s="769">
        <v>0.33313832916400887</v>
      </c>
      <c r="AH34" s="770">
        <v>756.5887219974145</v>
      </c>
      <c r="AI34" s="771">
        <v>54474.387983813845</v>
      </c>
      <c r="AJ34" s="769">
        <v>0.31738468467625353</v>
      </c>
      <c r="AK34" s="770">
        <v>719.50458691510289</v>
      </c>
      <c r="AL34" s="771">
        <v>62596.899061613949</v>
      </c>
      <c r="AM34" s="769">
        <v>0.33220695310085518</v>
      </c>
      <c r="AN34" s="770">
        <v>753.13468027929287</v>
      </c>
      <c r="AO34" s="771">
        <v>42175.542095640398</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0.28000000000000003</v>
      </c>
      <c r="D35" s="773">
        <v>280</v>
      </c>
      <c r="E35" s="774">
        <v>224000</v>
      </c>
      <c r="F35" s="772">
        <v>0.28000000000000003</v>
      </c>
      <c r="G35" s="773">
        <v>280</v>
      </c>
      <c r="H35" s="775">
        <v>16800</v>
      </c>
      <c r="I35" s="772">
        <v>0.28000000000000003</v>
      </c>
      <c r="J35" s="773">
        <v>280.00000000000006</v>
      </c>
      <c r="K35" s="775">
        <v>15400.000000000002</v>
      </c>
      <c r="L35" s="772">
        <v>0.28000000000000003</v>
      </c>
      <c r="M35" s="773">
        <v>280.00000000000006</v>
      </c>
      <c r="N35" s="775">
        <v>14560.000000000002</v>
      </c>
      <c r="O35" s="772">
        <v>0.28000000000000003</v>
      </c>
      <c r="P35" s="773">
        <v>280</v>
      </c>
      <c r="Q35" s="775">
        <v>16800</v>
      </c>
      <c r="R35" s="772">
        <v>0.28000000000000003</v>
      </c>
      <c r="S35" s="773">
        <v>280</v>
      </c>
      <c r="T35" s="775">
        <v>17080</v>
      </c>
      <c r="U35" s="772">
        <v>0.28000000000000003</v>
      </c>
      <c r="V35" s="773">
        <v>280.00000000000006</v>
      </c>
      <c r="W35" s="775">
        <v>20440.000000000004</v>
      </c>
      <c r="X35" s="772">
        <v>0.28000000000000003</v>
      </c>
      <c r="Y35" s="773">
        <v>280.00000000000006</v>
      </c>
      <c r="Z35" s="775">
        <v>20440.000000000004</v>
      </c>
      <c r="AA35" s="772">
        <v>0.28000000000000003</v>
      </c>
      <c r="AB35" s="773">
        <v>280.00000000000006</v>
      </c>
      <c r="AC35" s="775">
        <v>24640.000000000004</v>
      </c>
      <c r="AD35" s="772">
        <v>0.28000000000000003</v>
      </c>
      <c r="AE35" s="773">
        <v>280</v>
      </c>
      <c r="AF35" s="775">
        <v>17640</v>
      </c>
      <c r="AG35" s="772">
        <v>0.28000000000000003</v>
      </c>
      <c r="AH35" s="773">
        <v>280.00000000000006</v>
      </c>
      <c r="AI35" s="775">
        <v>20160.000000000004</v>
      </c>
      <c r="AJ35" s="772">
        <v>0.28000000000000003</v>
      </c>
      <c r="AK35" s="773">
        <v>280.00000000000006</v>
      </c>
      <c r="AL35" s="775">
        <v>24360.000000000004</v>
      </c>
      <c r="AM35" s="772">
        <v>0.28000000000000003</v>
      </c>
      <c r="AN35" s="773">
        <v>280.00000000000006</v>
      </c>
      <c r="AO35" s="775">
        <v>15680.000000000002</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92000</v>
      </c>
      <c r="F36" s="747"/>
      <c r="G36" s="770">
        <v>115</v>
      </c>
      <c r="H36" s="771">
        <v>6900</v>
      </c>
      <c r="I36" s="747"/>
      <c r="J36" s="770">
        <v>115</v>
      </c>
      <c r="K36" s="771">
        <v>6325</v>
      </c>
      <c r="L36" s="747"/>
      <c r="M36" s="770">
        <v>115</v>
      </c>
      <c r="N36" s="771">
        <v>5980</v>
      </c>
      <c r="O36" s="747"/>
      <c r="P36" s="770">
        <v>115</v>
      </c>
      <c r="Q36" s="771">
        <v>6900</v>
      </c>
      <c r="R36" s="747"/>
      <c r="S36" s="770">
        <v>115</v>
      </c>
      <c r="T36" s="771">
        <v>7015</v>
      </c>
      <c r="U36" s="747"/>
      <c r="V36" s="770">
        <v>115</v>
      </c>
      <c r="W36" s="771">
        <v>8395</v>
      </c>
      <c r="X36" s="747"/>
      <c r="Y36" s="770">
        <v>115</v>
      </c>
      <c r="Z36" s="771">
        <v>8395</v>
      </c>
      <c r="AA36" s="747"/>
      <c r="AB36" s="770">
        <v>115</v>
      </c>
      <c r="AC36" s="771">
        <v>10120</v>
      </c>
      <c r="AD36" s="747"/>
      <c r="AE36" s="770">
        <v>115</v>
      </c>
      <c r="AF36" s="771">
        <v>7245</v>
      </c>
      <c r="AG36" s="747"/>
      <c r="AH36" s="770">
        <v>115</v>
      </c>
      <c r="AI36" s="771">
        <v>8280</v>
      </c>
      <c r="AJ36" s="747"/>
      <c r="AK36" s="770">
        <v>115</v>
      </c>
      <c r="AL36" s="771">
        <v>10005</v>
      </c>
      <c r="AM36" s="747"/>
      <c r="AN36" s="770">
        <v>115</v>
      </c>
      <c r="AO36" s="771">
        <v>6440</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10</v>
      </c>
      <c r="E37" s="758">
        <v>8000</v>
      </c>
      <c r="F37" s="747"/>
      <c r="G37" s="770">
        <v>10</v>
      </c>
      <c r="H37" s="771">
        <v>600</v>
      </c>
      <c r="I37" s="747"/>
      <c r="J37" s="770">
        <v>10</v>
      </c>
      <c r="K37" s="771">
        <v>550</v>
      </c>
      <c r="L37" s="747"/>
      <c r="M37" s="770">
        <v>10</v>
      </c>
      <c r="N37" s="771">
        <v>520</v>
      </c>
      <c r="O37" s="747"/>
      <c r="P37" s="770">
        <v>10</v>
      </c>
      <c r="Q37" s="771">
        <v>600</v>
      </c>
      <c r="R37" s="747"/>
      <c r="S37" s="770">
        <v>10</v>
      </c>
      <c r="T37" s="771">
        <v>610</v>
      </c>
      <c r="U37" s="747"/>
      <c r="V37" s="770">
        <v>10</v>
      </c>
      <c r="W37" s="771">
        <v>730</v>
      </c>
      <c r="X37" s="747"/>
      <c r="Y37" s="770">
        <v>10</v>
      </c>
      <c r="Z37" s="771">
        <v>730</v>
      </c>
      <c r="AA37" s="747"/>
      <c r="AB37" s="770">
        <v>10</v>
      </c>
      <c r="AC37" s="771">
        <v>880</v>
      </c>
      <c r="AD37" s="747"/>
      <c r="AE37" s="770">
        <v>10</v>
      </c>
      <c r="AF37" s="771">
        <v>630</v>
      </c>
      <c r="AG37" s="747"/>
      <c r="AH37" s="770">
        <v>10</v>
      </c>
      <c r="AI37" s="771">
        <v>720</v>
      </c>
      <c r="AJ37" s="747"/>
      <c r="AK37" s="770">
        <v>10</v>
      </c>
      <c r="AL37" s="771">
        <v>870</v>
      </c>
      <c r="AM37" s="747"/>
      <c r="AN37" s="770">
        <v>10</v>
      </c>
      <c r="AO37" s="771">
        <v>560</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120.75</v>
      </c>
      <c r="E38" s="774">
        <v>96600</v>
      </c>
      <c r="F38" s="776"/>
      <c r="G38" s="773">
        <v>120.75</v>
      </c>
      <c r="H38" s="775">
        <v>7245</v>
      </c>
      <c r="I38" s="776"/>
      <c r="J38" s="773">
        <v>120.75</v>
      </c>
      <c r="K38" s="775">
        <v>6641.25</v>
      </c>
      <c r="L38" s="776"/>
      <c r="M38" s="773">
        <v>120.75</v>
      </c>
      <c r="N38" s="775">
        <v>6279</v>
      </c>
      <c r="O38" s="776"/>
      <c r="P38" s="773">
        <v>120.75</v>
      </c>
      <c r="Q38" s="775">
        <v>7245</v>
      </c>
      <c r="R38" s="776"/>
      <c r="S38" s="773">
        <v>120.75</v>
      </c>
      <c r="T38" s="775">
        <v>7365.75</v>
      </c>
      <c r="U38" s="776"/>
      <c r="V38" s="773">
        <v>120.75</v>
      </c>
      <c r="W38" s="775">
        <v>8814.75</v>
      </c>
      <c r="X38" s="776"/>
      <c r="Y38" s="773">
        <v>120.75</v>
      </c>
      <c r="Z38" s="775">
        <v>8814.75</v>
      </c>
      <c r="AA38" s="776"/>
      <c r="AB38" s="773">
        <v>120.75</v>
      </c>
      <c r="AC38" s="775">
        <v>10626</v>
      </c>
      <c r="AD38" s="776"/>
      <c r="AE38" s="773">
        <v>120.75</v>
      </c>
      <c r="AF38" s="775">
        <v>7607.25</v>
      </c>
      <c r="AG38" s="776"/>
      <c r="AH38" s="773">
        <v>120.75</v>
      </c>
      <c r="AI38" s="775">
        <v>8694</v>
      </c>
      <c r="AJ38" s="776"/>
      <c r="AK38" s="773">
        <v>120.75</v>
      </c>
      <c r="AL38" s="775">
        <v>10505.25</v>
      </c>
      <c r="AM38" s="776"/>
      <c r="AN38" s="773">
        <v>120.75</v>
      </c>
      <c r="AO38" s="775">
        <v>6762</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101.93</v>
      </c>
      <c r="E39" s="758">
        <v>81544</v>
      </c>
      <c r="F39" s="747"/>
      <c r="G39" s="770">
        <v>91.033333333333331</v>
      </c>
      <c r="H39" s="771">
        <v>5462</v>
      </c>
      <c r="I39" s="747"/>
      <c r="J39" s="770">
        <v>108.4</v>
      </c>
      <c r="K39" s="771">
        <v>5962</v>
      </c>
      <c r="L39" s="747"/>
      <c r="M39" s="770">
        <v>351.19230769230768</v>
      </c>
      <c r="N39" s="771">
        <v>18262</v>
      </c>
      <c r="O39" s="747"/>
      <c r="P39" s="770">
        <v>91.033333333333331</v>
      </c>
      <c r="Q39" s="771">
        <v>5462</v>
      </c>
      <c r="R39" s="747"/>
      <c r="S39" s="770">
        <v>87.901639344262293</v>
      </c>
      <c r="T39" s="771">
        <v>5362</v>
      </c>
      <c r="U39" s="747"/>
      <c r="V39" s="770">
        <v>57.013698630136986</v>
      </c>
      <c r="W39" s="771">
        <v>4162</v>
      </c>
      <c r="X39" s="747"/>
      <c r="Y39" s="770">
        <v>57.013698630136986</v>
      </c>
      <c r="Z39" s="771">
        <v>4162</v>
      </c>
      <c r="AA39" s="747"/>
      <c r="AB39" s="770">
        <v>30.25</v>
      </c>
      <c r="AC39" s="771">
        <v>2662</v>
      </c>
      <c r="AD39" s="747"/>
      <c r="AE39" s="770">
        <v>81.936507936507937</v>
      </c>
      <c r="AF39" s="771">
        <v>5162</v>
      </c>
      <c r="AG39" s="747"/>
      <c r="AH39" s="770">
        <v>225.86111111111111</v>
      </c>
      <c r="AI39" s="771">
        <v>16262</v>
      </c>
      <c r="AJ39" s="747"/>
      <c r="AK39" s="770">
        <v>31.74712643678161</v>
      </c>
      <c r="AL39" s="771">
        <v>2762</v>
      </c>
      <c r="AM39" s="747"/>
      <c r="AN39" s="770">
        <v>104.67857142857143</v>
      </c>
      <c r="AO39" s="771">
        <v>5862</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554.29499999999996</v>
      </c>
      <c r="E40" s="758">
        <v>443435.99999999994</v>
      </c>
      <c r="F40" s="747"/>
      <c r="G40" s="770">
        <v>580.19552322928689</v>
      </c>
      <c r="H40" s="771">
        <v>34811.731393757211</v>
      </c>
      <c r="I40" s="747"/>
      <c r="J40" s="770">
        <v>623.20302355257672</v>
      </c>
      <c r="K40" s="771">
        <v>34276.166295391718</v>
      </c>
      <c r="L40" s="747"/>
      <c r="M40" s="770">
        <v>690.05503058631155</v>
      </c>
      <c r="N40" s="771">
        <v>35882.861590488203</v>
      </c>
      <c r="O40" s="747"/>
      <c r="P40" s="770">
        <v>601.02305483238945</v>
      </c>
      <c r="Q40" s="771">
        <v>36061.383289943369</v>
      </c>
      <c r="R40" s="747"/>
      <c r="S40" s="770">
        <v>626.28924071156302</v>
      </c>
      <c r="T40" s="771">
        <v>38203.643683405346</v>
      </c>
      <c r="U40" s="747"/>
      <c r="V40" s="770">
        <v>523.33758470418286</v>
      </c>
      <c r="W40" s="771">
        <v>38203.643683405346</v>
      </c>
      <c r="X40" s="747"/>
      <c r="Y40" s="770">
        <v>560.02012568812097</v>
      </c>
      <c r="Z40" s="771">
        <v>40881.469175232829</v>
      </c>
      <c r="AA40" s="747"/>
      <c r="AB40" s="770">
        <v>413.84575782788289</v>
      </c>
      <c r="AC40" s="771">
        <v>36418.426688853695</v>
      </c>
      <c r="AD40" s="747"/>
      <c r="AE40" s="770">
        <v>603.57336482460619</v>
      </c>
      <c r="AF40" s="771">
        <v>38025.121983950186</v>
      </c>
      <c r="AG40" s="747"/>
      <c r="AH40" s="770">
        <v>565.31871494135646</v>
      </c>
      <c r="AI40" s="771">
        <v>40702.947475777662</v>
      </c>
      <c r="AJ40" s="747"/>
      <c r="AK40" s="770">
        <v>402.18681716336067</v>
      </c>
      <c r="AL40" s="771">
        <v>34990.253093212377</v>
      </c>
      <c r="AM40" s="747"/>
      <c r="AN40" s="770">
        <v>624.61342226039346</v>
      </c>
      <c r="AO40" s="771">
        <v>34978.351646582036</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0.56214589050651698</v>
      </c>
      <c r="E44" s="779">
        <v>1544277.2722530724</v>
      </c>
      <c r="F44" s="777" t="s">
        <v>119</v>
      </c>
      <c r="G44" s="778">
        <v>0.57803147965304669</v>
      </c>
      <c r="H44" s="779">
        <v>117996.94311014429</v>
      </c>
      <c r="I44" s="777" t="s">
        <v>119</v>
      </c>
      <c r="J44" s="778">
        <v>0.58974736449649556</v>
      </c>
      <c r="K44" s="779">
        <v>110691.79098584544</v>
      </c>
      <c r="L44" s="777" t="s">
        <v>119</v>
      </c>
      <c r="M44" s="778">
        <v>0.6786093210209404</v>
      </c>
      <c r="N44" s="779">
        <v>121106.7340653819</v>
      </c>
      <c r="O44" s="777" t="s">
        <v>119</v>
      </c>
      <c r="P44" s="778">
        <v>0.57110105504577746</v>
      </c>
      <c r="Q44" s="779">
        <v>118434.76241151712</v>
      </c>
      <c r="R44" s="777" t="s">
        <v>119</v>
      </c>
      <c r="S44" s="778">
        <v>0.58225317971939539</v>
      </c>
      <c r="T44" s="779">
        <v>123090.94021016579</v>
      </c>
      <c r="U44" s="777" t="s">
        <v>119</v>
      </c>
      <c r="V44" s="778">
        <v>0.53657735548479579</v>
      </c>
      <c r="W44" s="779">
        <v>134407.94907240587</v>
      </c>
      <c r="X44" s="777" t="s">
        <v>119</v>
      </c>
      <c r="Y44" s="778">
        <v>0.54726764970303821</v>
      </c>
      <c r="Z44" s="779">
        <v>137085.77456423335</v>
      </c>
      <c r="AA44" s="777" t="s">
        <v>119</v>
      </c>
      <c r="AB44" s="778">
        <v>0.49712087817606854</v>
      </c>
      <c r="AC44" s="779">
        <v>150031.49315565432</v>
      </c>
      <c r="AD44" s="777" t="s">
        <v>119</v>
      </c>
      <c r="AE44" s="778">
        <v>0.56789122057315622</v>
      </c>
      <c r="AF44" s="779">
        <v>123590.25332108398</v>
      </c>
      <c r="AG44" s="777" t="s">
        <v>119</v>
      </c>
      <c r="AH44" s="778">
        <v>0.60209479546159328</v>
      </c>
      <c r="AI44" s="779">
        <v>149293.33545959153</v>
      </c>
      <c r="AJ44" s="777" t="s">
        <v>119</v>
      </c>
      <c r="AK44" s="778">
        <v>0.4896332988129401</v>
      </c>
      <c r="AL44" s="779">
        <v>146089.40215482633</v>
      </c>
      <c r="AM44" s="777" t="s">
        <v>119</v>
      </c>
      <c r="AN44" s="778">
        <v>0.58786304141773849</v>
      </c>
      <c r="AO44" s="779">
        <v>112457.89374222243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309574.05000000005</v>
      </c>
      <c r="F45" s="747"/>
      <c r="G45" s="757"/>
      <c r="H45" s="771">
        <v>28420.581730769234</v>
      </c>
      <c r="I45" s="747"/>
      <c r="J45" s="757"/>
      <c r="K45" s="771">
        <v>24486.465384615389</v>
      </c>
      <c r="L45" s="747"/>
      <c r="M45" s="757"/>
      <c r="N45" s="771">
        <v>24486.465384615389</v>
      </c>
      <c r="O45" s="747"/>
      <c r="P45" s="757"/>
      <c r="Q45" s="771">
        <v>24486.465384615389</v>
      </c>
      <c r="R45" s="747"/>
      <c r="S45" s="757"/>
      <c r="T45" s="771">
        <v>28420.581730769234</v>
      </c>
      <c r="U45" s="747"/>
      <c r="V45" s="757"/>
      <c r="W45" s="771">
        <v>24486.465384615389</v>
      </c>
      <c r="X45" s="747"/>
      <c r="Y45" s="757"/>
      <c r="Z45" s="771">
        <v>24486.465384615389</v>
      </c>
      <c r="AA45" s="747"/>
      <c r="AB45" s="757"/>
      <c r="AC45" s="771">
        <v>28420.581730769234</v>
      </c>
      <c r="AD45" s="747"/>
      <c r="AE45" s="757"/>
      <c r="AF45" s="771">
        <v>24486.465384615389</v>
      </c>
      <c r="AG45" s="747"/>
      <c r="AH45" s="757"/>
      <c r="AI45" s="771">
        <v>28420.581730769234</v>
      </c>
      <c r="AJ45" s="747"/>
      <c r="AK45" s="757"/>
      <c r="AL45" s="771">
        <v>24486.465384615389</v>
      </c>
      <c r="AM45" s="747"/>
      <c r="AN45" s="757"/>
      <c r="AO45" s="771">
        <v>24486.465384615389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179904.84799999997</v>
      </c>
      <c r="F46" s="747"/>
      <c r="G46" s="757"/>
      <c r="H46" s="771">
        <v>17167.773846153847</v>
      </c>
      <c r="I46" s="747"/>
      <c r="J46" s="757"/>
      <c r="K46" s="771">
        <v>13904.219076923078</v>
      </c>
      <c r="L46" s="747"/>
      <c r="M46" s="757"/>
      <c r="N46" s="771">
        <v>13904.219076923078</v>
      </c>
      <c r="O46" s="747"/>
      <c r="P46" s="757"/>
      <c r="Q46" s="771">
        <v>13904.219076923078</v>
      </c>
      <c r="R46" s="747"/>
      <c r="S46" s="757"/>
      <c r="T46" s="771">
        <v>17167.773846153847</v>
      </c>
      <c r="U46" s="747"/>
      <c r="V46" s="757"/>
      <c r="W46" s="771">
        <v>13904.219076923078</v>
      </c>
      <c r="X46" s="747"/>
      <c r="Y46" s="757"/>
      <c r="Z46" s="771">
        <v>13904.219076923078</v>
      </c>
      <c r="AA46" s="747"/>
      <c r="AB46" s="757"/>
      <c r="AC46" s="771">
        <v>17167.773846153847</v>
      </c>
      <c r="AD46" s="747"/>
      <c r="AE46" s="757"/>
      <c r="AF46" s="771">
        <v>13904.219076923078</v>
      </c>
      <c r="AG46" s="747"/>
      <c r="AH46" s="757"/>
      <c r="AI46" s="771">
        <v>17167.773846153847</v>
      </c>
      <c r="AJ46" s="747"/>
      <c r="AK46" s="757"/>
      <c r="AL46" s="771">
        <v>13904.219076923078</v>
      </c>
      <c r="AM46" s="747"/>
      <c r="AN46" s="757"/>
      <c r="AO46" s="771">
        <v>13904.219076923078</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4102.2000000000007</v>
      </c>
      <c r="F47" s="780"/>
      <c r="G47" s="781"/>
      <c r="H47" s="783">
        <v>394.44230769230774</v>
      </c>
      <c r="I47" s="780"/>
      <c r="J47" s="781"/>
      <c r="K47" s="783">
        <v>315.55384615384617</v>
      </c>
      <c r="L47" s="780"/>
      <c r="M47" s="781"/>
      <c r="N47" s="783">
        <v>315.55384615384617</v>
      </c>
      <c r="O47" s="780"/>
      <c r="P47" s="781"/>
      <c r="Q47" s="783">
        <v>315.55384615384617</v>
      </c>
      <c r="R47" s="780"/>
      <c r="S47" s="781"/>
      <c r="T47" s="783">
        <v>394.44230769230774</v>
      </c>
      <c r="U47" s="780"/>
      <c r="V47" s="781"/>
      <c r="W47" s="783">
        <v>315.55384615384617</v>
      </c>
      <c r="X47" s="780"/>
      <c r="Y47" s="781"/>
      <c r="Z47" s="783">
        <v>315.55384615384617</v>
      </c>
      <c r="AA47" s="780"/>
      <c r="AB47" s="781"/>
      <c r="AC47" s="783">
        <v>394.44230769230774</v>
      </c>
      <c r="AD47" s="780"/>
      <c r="AE47" s="781"/>
      <c r="AF47" s="783">
        <v>315.55384615384617</v>
      </c>
      <c r="AG47" s="780"/>
      <c r="AH47" s="781"/>
      <c r="AI47" s="783">
        <v>394.44230769230774</v>
      </c>
      <c r="AJ47" s="780"/>
      <c r="AK47" s="781"/>
      <c r="AL47" s="783">
        <v>315.55384615384617</v>
      </c>
      <c r="AM47" s="780"/>
      <c r="AN47" s="781"/>
      <c r="AO47" s="783">
        <v>315.55384615384617</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148529.80500274603</v>
      </c>
      <c r="F52" s="747"/>
      <c r="G52" s="757"/>
      <c r="H52" s="771">
        <v>12062.772479562989</v>
      </c>
      <c r="I52" s="747"/>
      <c r="J52" s="757"/>
      <c r="K52" s="771">
        <v>9735.8914894858408</v>
      </c>
      <c r="L52" s="747"/>
      <c r="M52" s="757"/>
      <c r="N52" s="771">
        <v>12663.726344675681</v>
      </c>
      <c r="O52" s="747"/>
      <c r="P52" s="757"/>
      <c r="Q52" s="771">
        <v>13219.128099359219</v>
      </c>
      <c r="R52" s="747"/>
      <c r="S52" s="757"/>
      <c r="T52" s="771">
        <v>14936.127334752829</v>
      </c>
      <c r="U52" s="747"/>
      <c r="V52" s="757"/>
      <c r="W52" s="771">
        <v>11620.016753536451</v>
      </c>
      <c r="X52" s="747"/>
      <c r="Y52" s="757"/>
      <c r="Z52" s="771">
        <v>11796.070671764297</v>
      </c>
      <c r="AA52" s="747"/>
      <c r="AB52" s="757"/>
      <c r="AC52" s="771">
        <v>13032.075111588296</v>
      </c>
      <c r="AD52" s="747"/>
      <c r="AE52" s="757"/>
      <c r="AF52" s="771">
        <v>12229.898508219989</v>
      </c>
      <c r="AG52" s="747"/>
      <c r="AH52" s="757"/>
      <c r="AI52" s="771">
        <v>14095.711661841447</v>
      </c>
      <c r="AJ52" s="747"/>
      <c r="AK52" s="757"/>
      <c r="AL52" s="771">
        <v>13449.662017587063</v>
      </c>
      <c r="AM52" s="747"/>
      <c r="AN52" s="757"/>
      <c r="AO52" s="771">
        <v>9688.7245303719174</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180591.30476104806</v>
      </c>
      <c r="F53" s="780"/>
      <c r="G53" s="781"/>
      <c r="H53" s="783">
        <v>14666.630856208745</v>
      </c>
      <c r="I53" s="780"/>
      <c r="J53" s="781"/>
      <c r="K53" s="783">
        <v>11837.471590740493</v>
      </c>
      <c r="L53" s="780"/>
      <c r="M53" s="781"/>
      <c r="N53" s="783">
        <v>15397.306040222413</v>
      </c>
      <c r="O53" s="780"/>
      <c r="P53" s="781"/>
      <c r="Q53" s="783">
        <v>16072.596279397112</v>
      </c>
      <c r="R53" s="780"/>
      <c r="S53" s="781"/>
      <c r="T53" s="783">
        <v>18160.225305690667</v>
      </c>
      <c r="U53" s="780"/>
      <c r="V53" s="781"/>
      <c r="W53" s="783">
        <v>14128.302308264583</v>
      </c>
      <c r="X53" s="780"/>
      <c r="Y53" s="781"/>
      <c r="Z53" s="783">
        <v>14342.359054656152</v>
      </c>
      <c r="AA53" s="780"/>
      <c r="AB53" s="781"/>
      <c r="AC53" s="783">
        <v>15845.166214970792</v>
      </c>
      <c r="AD53" s="780"/>
      <c r="AE53" s="781"/>
      <c r="AF53" s="783">
        <v>14869.832547439282</v>
      </c>
      <c r="AG53" s="780"/>
      <c r="AH53" s="781"/>
      <c r="AI53" s="783">
        <v>17138.398320124405</v>
      </c>
      <c r="AJ53" s="780"/>
      <c r="AK53" s="781"/>
      <c r="AL53" s="783">
        <v>16352.893025788675</v>
      </c>
      <c r="AM53" s="780"/>
      <c r="AN53" s="781"/>
      <c r="AO53" s="783">
        <v>11780.123217544711</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93043.780931235611</v>
      </c>
      <c r="F54" s="747"/>
      <c r="G54" s="757"/>
      <c r="H54" s="771">
        <v>7556.5032889597223</v>
      </c>
      <c r="I54" s="747"/>
      <c r="J54" s="757"/>
      <c r="K54" s="771">
        <v>6098.8712326206451</v>
      </c>
      <c r="L54" s="747"/>
      <c r="M54" s="757"/>
      <c r="N54" s="771">
        <v>7932.9598511580689</v>
      </c>
      <c r="O54" s="747"/>
      <c r="P54" s="757"/>
      <c r="Q54" s="771">
        <v>8280.8811265589466</v>
      </c>
      <c r="R54" s="747"/>
      <c r="S54" s="757"/>
      <c r="T54" s="771">
        <v>9356.4639074971456</v>
      </c>
      <c r="U54" s="747"/>
      <c r="V54" s="757"/>
      <c r="W54" s="771">
        <v>7279.1470588232733</v>
      </c>
      <c r="X54" s="747"/>
      <c r="Y54" s="757"/>
      <c r="Z54" s="771">
        <v>7389.4328172902333</v>
      </c>
      <c r="AA54" s="747"/>
      <c r="AB54" s="757"/>
      <c r="AC54" s="771">
        <v>8163.7052020610372</v>
      </c>
      <c r="AD54" s="747"/>
      <c r="AE54" s="757"/>
      <c r="AF54" s="771">
        <v>7661.1963342241506</v>
      </c>
      <c r="AG54" s="747"/>
      <c r="AH54" s="757"/>
      <c r="AI54" s="771">
        <v>8830.0008736293112</v>
      </c>
      <c r="AJ54" s="747"/>
      <c r="AK54" s="757"/>
      <c r="AL54" s="771">
        <v>8425.2948850259036</v>
      </c>
      <c r="AM54" s="747"/>
      <c r="AN54" s="757"/>
      <c r="AO54" s="771">
        <v>6069.3243533871655</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40567.611939076007</v>
      </c>
      <c r="F55" s="747"/>
      <c r="G55" s="757"/>
      <c r="H55" s="771">
        <v>3294.6779459599352</v>
      </c>
      <c r="I55" s="747"/>
      <c r="J55" s="757"/>
      <c r="K55" s="771">
        <v>2659.1421689344584</v>
      </c>
      <c r="L55" s="747"/>
      <c r="M55" s="757"/>
      <c r="N55" s="771">
        <v>3458.8151249774983</v>
      </c>
      <c r="O55" s="747"/>
      <c r="P55" s="757"/>
      <c r="Q55" s="771">
        <v>3610.5107584152929</v>
      </c>
      <c r="R55" s="747"/>
      <c r="S55" s="757"/>
      <c r="T55" s="771">
        <v>4079.470902002975</v>
      </c>
      <c r="U55" s="747"/>
      <c r="V55" s="757"/>
      <c r="W55" s="771">
        <v>3173.7490692478409</v>
      </c>
      <c r="X55" s="747"/>
      <c r="Y55" s="757"/>
      <c r="Z55" s="771">
        <v>3221.8342803937726</v>
      </c>
      <c r="AA55" s="747"/>
      <c r="AB55" s="757"/>
      <c r="AC55" s="771">
        <v>3559.421396116627</v>
      </c>
      <c r="AD55" s="747"/>
      <c r="AE55" s="757"/>
      <c r="AF55" s="771">
        <v>3340.3247026856357</v>
      </c>
      <c r="AG55" s="747"/>
      <c r="AH55" s="757"/>
      <c r="AI55" s="771">
        <v>3849.9300574192498</v>
      </c>
      <c r="AJ55" s="747"/>
      <c r="AK55" s="757"/>
      <c r="AL55" s="771">
        <v>3673.4759695612238</v>
      </c>
      <c r="AM55" s="747"/>
      <c r="AN55" s="757"/>
      <c r="AO55" s="771">
        <v>2646.2595633614928</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0.34811608659345367</v>
      </c>
      <c r="E57" s="779">
        <v>956313.60063410574</v>
      </c>
      <c r="F57" s="777" t="s">
        <v>119</v>
      </c>
      <c r="G57" s="778">
        <v>0.40935183855031443</v>
      </c>
      <c r="H57" s="779">
        <v>83563.382455306783</v>
      </c>
      <c r="I57" s="777" t="s">
        <v>119</v>
      </c>
      <c r="J57" s="778">
        <v>0.36782087461592133</v>
      </c>
      <c r="K57" s="779">
        <v>69037.614789473751</v>
      </c>
      <c r="L57" s="777" t="s">
        <v>119</v>
      </c>
      <c r="M57" s="778">
        <v>0.43795629798970875</v>
      </c>
      <c r="N57" s="779">
        <v>78159.045668725972</v>
      </c>
      <c r="O57" s="777" t="s">
        <v>119</v>
      </c>
      <c r="P57" s="778">
        <v>0.38523228952101185</v>
      </c>
      <c r="Q57" s="779">
        <v>79889.354571422882</v>
      </c>
      <c r="R57" s="777" t="s">
        <v>119</v>
      </c>
      <c r="S57" s="778">
        <v>0.4376211808609568</v>
      </c>
      <c r="T57" s="779">
        <v>92515.085334559</v>
      </c>
      <c r="U57" s="777" t="s">
        <v>119</v>
      </c>
      <c r="V57" s="778">
        <v>0.29904215919678268</v>
      </c>
      <c r="W57" s="779">
        <v>74907.453497564464</v>
      </c>
      <c r="X57" s="777" t="s">
        <v>119</v>
      </c>
      <c r="Y57" s="778">
        <v>0.30123178285267083</v>
      </c>
      <c r="Z57" s="779">
        <v>75455.935131796767</v>
      </c>
      <c r="AA57" s="777" t="s">
        <v>119</v>
      </c>
      <c r="AB57" s="778">
        <v>0.28688842933632519</v>
      </c>
      <c r="AC57" s="779">
        <v>86583.16580935214</v>
      </c>
      <c r="AD57" s="777" t="s">
        <v>119</v>
      </c>
      <c r="AE57" s="778">
        <v>0.35292669365476831</v>
      </c>
      <c r="AF57" s="779">
        <v>76807.490400261377</v>
      </c>
      <c r="AG57" s="777" t="s">
        <v>119</v>
      </c>
      <c r="AH57" s="778">
        <v>0.36255080377082777</v>
      </c>
      <c r="AI57" s="779">
        <v>89896.838797629782</v>
      </c>
      <c r="AJ57" s="777" t="s">
        <v>119</v>
      </c>
      <c r="AK57" s="778">
        <v>0.27016434449818788</v>
      </c>
      <c r="AL57" s="779">
        <v>80607.564205655173</v>
      </c>
      <c r="AM57" s="777" t="s">
        <v>119</v>
      </c>
      <c r="AN57" s="778">
        <v>0.36011948496996171</v>
      </c>
      <c r="AO57" s="779">
        <v>68890.669972357617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107430.57520000001</v>
      </c>
      <c r="F60" s="785"/>
      <c r="G60" s="786"/>
      <c r="H60" s="788">
        <v>8952.5479333333333</v>
      </c>
      <c r="I60" s="785"/>
      <c r="J60" s="786"/>
      <c r="K60" s="788">
        <v>8952.5479333333333</v>
      </c>
      <c r="L60" s="785"/>
      <c r="M60" s="786"/>
      <c r="N60" s="788">
        <v>8952.5479333333333</v>
      </c>
      <c r="O60" s="785"/>
      <c r="P60" s="786"/>
      <c r="Q60" s="788">
        <v>8952.5479333333333</v>
      </c>
      <c r="R60" s="785"/>
      <c r="S60" s="786"/>
      <c r="T60" s="788">
        <v>8952.5479333333333</v>
      </c>
      <c r="U60" s="785"/>
      <c r="V60" s="786"/>
      <c r="W60" s="788">
        <v>8952.5479333333333</v>
      </c>
      <c r="X60" s="785"/>
      <c r="Y60" s="786"/>
      <c r="Z60" s="788">
        <v>8952.5479333333333</v>
      </c>
      <c r="AA60" s="785"/>
      <c r="AB60" s="786"/>
      <c r="AC60" s="788">
        <v>8952.5479333333333</v>
      </c>
      <c r="AD60" s="785"/>
      <c r="AE60" s="786"/>
      <c r="AF60" s="788">
        <v>8952.5479333333333</v>
      </c>
      <c r="AG60" s="785"/>
      <c r="AH60" s="786"/>
      <c r="AI60" s="788">
        <v>8952.5479333333333</v>
      </c>
      <c r="AJ60" s="785"/>
      <c r="AK60" s="786"/>
      <c r="AL60" s="788">
        <v>8952.5479333333333</v>
      </c>
      <c r="AM60" s="785"/>
      <c r="AN60" s="786"/>
      <c r="AO60" s="788">
        <v>8952.5479333333333</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95531.937102186712</v>
      </c>
      <c r="F61" s="747"/>
      <c r="G61" s="757"/>
      <c r="H61" s="771">
        <v>7960.9947585155569</v>
      </c>
      <c r="I61" s="747"/>
      <c r="J61" s="757"/>
      <c r="K61" s="771">
        <v>7960.9947585155569</v>
      </c>
      <c r="L61" s="747"/>
      <c r="M61" s="757"/>
      <c r="N61" s="771">
        <v>7960.9947585155569</v>
      </c>
      <c r="O61" s="747"/>
      <c r="P61" s="757"/>
      <c r="Q61" s="771">
        <v>7960.9947585155569</v>
      </c>
      <c r="R61" s="747"/>
      <c r="S61" s="757"/>
      <c r="T61" s="771">
        <v>7960.9947585155569</v>
      </c>
      <c r="U61" s="747"/>
      <c r="V61" s="757"/>
      <c r="W61" s="771">
        <v>7960.9947585155569</v>
      </c>
      <c r="X61" s="747"/>
      <c r="Y61" s="757"/>
      <c r="Z61" s="771">
        <v>7960.9947585155569</v>
      </c>
      <c r="AA61" s="747"/>
      <c r="AB61" s="757"/>
      <c r="AC61" s="771">
        <v>7960.9947585155569</v>
      </c>
      <c r="AD61" s="747"/>
      <c r="AE61" s="757"/>
      <c r="AF61" s="771">
        <v>7960.9947585155569</v>
      </c>
      <c r="AG61" s="747"/>
      <c r="AH61" s="757"/>
      <c r="AI61" s="771">
        <v>7960.9947585155569</v>
      </c>
      <c r="AJ61" s="747"/>
      <c r="AK61" s="757"/>
      <c r="AL61" s="771">
        <v>7960.9947585155569</v>
      </c>
      <c r="AM61" s="747"/>
      <c r="AN61" s="757"/>
      <c r="AO61" s="771">
        <v>7960.9947585155569</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15200.370010355771</v>
      </c>
      <c r="F62" s="747"/>
      <c r="G62" s="757"/>
      <c r="H62" s="771">
        <v>1266.6975008629806</v>
      </c>
      <c r="I62" s="747"/>
      <c r="J62" s="757"/>
      <c r="K62" s="771">
        <v>1266.6975008629806</v>
      </c>
      <c r="L62" s="747"/>
      <c r="M62" s="757"/>
      <c r="N62" s="771">
        <v>1266.6975008629806</v>
      </c>
      <c r="O62" s="747"/>
      <c r="P62" s="757"/>
      <c r="Q62" s="771">
        <v>1266.6975008629806</v>
      </c>
      <c r="R62" s="747"/>
      <c r="S62" s="757"/>
      <c r="T62" s="771">
        <v>1266.6975008629806</v>
      </c>
      <c r="U62" s="747"/>
      <c r="V62" s="757"/>
      <c r="W62" s="771">
        <v>1266.6975008629806</v>
      </c>
      <c r="X62" s="747"/>
      <c r="Y62" s="757"/>
      <c r="Z62" s="771">
        <v>1266.6975008629806</v>
      </c>
      <c r="AA62" s="747"/>
      <c r="AB62" s="757"/>
      <c r="AC62" s="771">
        <v>1266.6975008629806</v>
      </c>
      <c r="AD62" s="747"/>
      <c r="AE62" s="757"/>
      <c r="AF62" s="771">
        <v>1266.6975008629806</v>
      </c>
      <c r="AG62" s="747"/>
      <c r="AH62" s="757"/>
      <c r="AI62" s="771">
        <v>1266.6975008629806</v>
      </c>
      <c r="AJ62" s="747"/>
      <c r="AK62" s="757"/>
      <c r="AL62" s="771">
        <v>1266.6975008629806</v>
      </c>
      <c r="AM62" s="747"/>
      <c r="AN62" s="757"/>
      <c r="AO62" s="771">
        <v>1266.6975008629806</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86588.888683050362</v>
      </c>
      <c r="F63" s="785"/>
      <c r="G63" s="786"/>
      <c r="H63" s="788">
        <v>7215.7407235875298</v>
      </c>
      <c r="I63" s="785"/>
      <c r="J63" s="786"/>
      <c r="K63" s="788">
        <v>7215.7407235875298</v>
      </c>
      <c r="L63" s="785"/>
      <c r="M63" s="786"/>
      <c r="N63" s="788">
        <v>7215.7407235875298</v>
      </c>
      <c r="O63" s="785"/>
      <c r="P63" s="786"/>
      <c r="Q63" s="788">
        <v>7215.7407235875298</v>
      </c>
      <c r="R63" s="785"/>
      <c r="S63" s="786"/>
      <c r="T63" s="788">
        <v>7215.7407235875298</v>
      </c>
      <c r="U63" s="785"/>
      <c r="V63" s="786"/>
      <c r="W63" s="788">
        <v>7215.7407235875298</v>
      </c>
      <c r="X63" s="785"/>
      <c r="Y63" s="786"/>
      <c r="Z63" s="788">
        <v>7215.7407235875298</v>
      </c>
      <c r="AA63" s="785"/>
      <c r="AB63" s="786"/>
      <c r="AC63" s="788">
        <v>7215.7407235875298</v>
      </c>
      <c r="AD63" s="785"/>
      <c r="AE63" s="786"/>
      <c r="AF63" s="788">
        <v>7215.7407235875298</v>
      </c>
      <c r="AG63" s="785"/>
      <c r="AH63" s="786"/>
      <c r="AI63" s="788">
        <v>7215.7407235875298</v>
      </c>
      <c r="AJ63" s="785"/>
      <c r="AK63" s="786"/>
      <c r="AL63" s="788">
        <v>7215.7407235875298</v>
      </c>
      <c r="AM63" s="785"/>
      <c r="AN63" s="786"/>
      <c r="AO63" s="788">
        <v>7215.7407235875298</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1167.0880000000002</v>
      </c>
      <c r="F64" s="747"/>
      <c r="G64" s="757"/>
      <c r="H64" s="771">
        <v>97.257333333333349</v>
      </c>
      <c r="I64" s="747"/>
      <c r="J64" s="757"/>
      <c r="K64" s="771">
        <v>97.257333333333349</v>
      </c>
      <c r="L64" s="747"/>
      <c r="M64" s="757"/>
      <c r="N64" s="771">
        <v>97.257333333333349</v>
      </c>
      <c r="O64" s="747"/>
      <c r="P64" s="757"/>
      <c r="Q64" s="771">
        <v>97.257333333333349</v>
      </c>
      <c r="R64" s="747"/>
      <c r="S64" s="757"/>
      <c r="T64" s="771">
        <v>97.257333333333349</v>
      </c>
      <c r="U64" s="747"/>
      <c r="V64" s="757"/>
      <c r="W64" s="771">
        <v>97.257333333333349</v>
      </c>
      <c r="X64" s="747"/>
      <c r="Y64" s="757"/>
      <c r="Z64" s="771">
        <v>97.257333333333349</v>
      </c>
      <c r="AA64" s="747"/>
      <c r="AB64" s="757"/>
      <c r="AC64" s="771">
        <v>97.257333333333349</v>
      </c>
      <c r="AD64" s="747"/>
      <c r="AE64" s="757"/>
      <c r="AF64" s="771">
        <v>97.257333333333349</v>
      </c>
      <c r="AG64" s="747"/>
      <c r="AH64" s="757"/>
      <c r="AI64" s="771">
        <v>97.257333333333349</v>
      </c>
      <c r="AJ64" s="747"/>
      <c r="AK64" s="757"/>
      <c r="AL64" s="771">
        <v>97.257333333333349</v>
      </c>
      <c r="AM64" s="747"/>
      <c r="AN64" s="757"/>
      <c r="AO64" s="771">
        <v>97.257333333333349</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340</v>
      </c>
      <c r="F65" s="747"/>
      <c r="G65" s="757"/>
      <c r="H65" s="771">
        <v>28.333333333333332</v>
      </c>
      <c r="I65" s="747"/>
      <c r="J65" s="757"/>
      <c r="K65" s="771">
        <v>28.333333333333332</v>
      </c>
      <c r="L65" s="747"/>
      <c r="M65" s="757"/>
      <c r="N65" s="771">
        <v>28.333333333333332</v>
      </c>
      <c r="O65" s="747"/>
      <c r="P65" s="757"/>
      <c r="Q65" s="771">
        <v>28.333333333333332</v>
      </c>
      <c r="R65" s="747"/>
      <c r="S65" s="757"/>
      <c r="T65" s="771">
        <v>28.333333333333332</v>
      </c>
      <c r="U65" s="747"/>
      <c r="V65" s="757"/>
      <c r="W65" s="771">
        <v>28.333333333333332</v>
      </c>
      <c r="X65" s="747"/>
      <c r="Y65" s="757"/>
      <c r="Z65" s="771">
        <v>28.333333333333332</v>
      </c>
      <c r="AA65" s="747"/>
      <c r="AB65" s="757"/>
      <c r="AC65" s="771">
        <v>28.333333333333332</v>
      </c>
      <c r="AD65" s="747"/>
      <c r="AE65" s="757"/>
      <c r="AF65" s="771">
        <v>28.333333333333332</v>
      </c>
      <c r="AG65" s="747"/>
      <c r="AH65" s="757"/>
      <c r="AI65" s="771">
        <v>28.333333333333332</v>
      </c>
      <c r="AJ65" s="747"/>
      <c r="AK65" s="757"/>
      <c r="AL65" s="771">
        <v>28.333333333333332</v>
      </c>
      <c r="AM65" s="747"/>
      <c r="AN65" s="757"/>
      <c r="AO65" s="771">
        <v>28.333333333333332</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8897.1707360294404</v>
      </c>
      <c r="F66" s="747"/>
      <c r="G66" s="757"/>
      <c r="H66" s="771">
        <v>741.43089466911999</v>
      </c>
      <c r="I66" s="747"/>
      <c r="J66" s="757"/>
      <c r="K66" s="771">
        <v>741.43089466911999</v>
      </c>
      <c r="L66" s="747"/>
      <c r="M66" s="757"/>
      <c r="N66" s="771">
        <v>741.43089466911999</v>
      </c>
      <c r="O66" s="747"/>
      <c r="P66" s="757"/>
      <c r="Q66" s="771">
        <v>741.43089466911999</v>
      </c>
      <c r="R66" s="747"/>
      <c r="S66" s="757"/>
      <c r="T66" s="771">
        <v>741.43089466911999</v>
      </c>
      <c r="U66" s="747"/>
      <c r="V66" s="757"/>
      <c r="W66" s="771">
        <v>741.43089466911999</v>
      </c>
      <c r="X66" s="747"/>
      <c r="Y66" s="757"/>
      <c r="Z66" s="771">
        <v>741.43089466911999</v>
      </c>
      <c r="AA66" s="747"/>
      <c r="AB66" s="757"/>
      <c r="AC66" s="771">
        <v>741.43089466911999</v>
      </c>
      <c r="AD66" s="747"/>
      <c r="AE66" s="757"/>
      <c r="AF66" s="771">
        <v>741.43089466911999</v>
      </c>
      <c r="AG66" s="747"/>
      <c r="AH66" s="757"/>
      <c r="AI66" s="771">
        <v>741.43089466911999</v>
      </c>
      <c r="AJ66" s="747"/>
      <c r="AK66" s="757"/>
      <c r="AL66" s="771">
        <v>741.43089466911999</v>
      </c>
      <c r="AM66" s="747"/>
      <c r="AN66" s="757"/>
      <c r="AO66" s="771">
        <v>741.43089466911999</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4137.6238190157865</v>
      </c>
      <c r="F67" s="747"/>
      <c r="G67" s="757"/>
      <c r="H67" s="771">
        <v>344.80198491798222</v>
      </c>
      <c r="I67" s="747"/>
      <c r="J67" s="757"/>
      <c r="K67" s="771">
        <v>344.80198491798222</v>
      </c>
      <c r="L67" s="747"/>
      <c r="M67" s="757"/>
      <c r="N67" s="771">
        <v>344.80198491798222</v>
      </c>
      <c r="O67" s="747"/>
      <c r="P67" s="757"/>
      <c r="Q67" s="771">
        <v>344.80198491798222</v>
      </c>
      <c r="R67" s="747"/>
      <c r="S67" s="757"/>
      <c r="T67" s="771">
        <v>344.80198491798222</v>
      </c>
      <c r="U67" s="747"/>
      <c r="V67" s="757"/>
      <c r="W67" s="771">
        <v>344.80198491798222</v>
      </c>
      <c r="X67" s="747"/>
      <c r="Y67" s="757"/>
      <c r="Z67" s="771">
        <v>344.80198491798222</v>
      </c>
      <c r="AA67" s="747"/>
      <c r="AB67" s="757"/>
      <c r="AC67" s="771">
        <v>344.80198491798222</v>
      </c>
      <c r="AD67" s="747"/>
      <c r="AE67" s="757"/>
      <c r="AF67" s="771">
        <v>344.80198491798222</v>
      </c>
      <c r="AG67" s="747"/>
      <c r="AH67" s="757"/>
      <c r="AI67" s="771">
        <v>344.80198491798222</v>
      </c>
      <c r="AJ67" s="747"/>
      <c r="AK67" s="757"/>
      <c r="AL67" s="771">
        <v>344.80198491798222</v>
      </c>
      <c r="AM67" s="747"/>
      <c r="AN67" s="757"/>
      <c r="AO67" s="771">
        <v>344.80198491798222</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1233.8687444210134</v>
      </c>
      <c r="F68" s="747"/>
      <c r="G68" s="757"/>
      <c r="H68" s="771">
        <v>102.82239536841776</v>
      </c>
      <c r="I68" s="747"/>
      <c r="J68" s="757"/>
      <c r="K68" s="771">
        <v>102.82239536841776</v>
      </c>
      <c r="L68" s="747"/>
      <c r="M68" s="757"/>
      <c r="N68" s="771">
        <v>102.82239536841776</v>
      </c>
      <c r="O68" s="747"/>
      <c r="P68" s="757"/>
      <c r="Q68" s="771">
        <v>102.82239536841776</v>
      </c>
      <c r="R68" s="747"/>
      <c r="S68" s="757"/>
      <c r="T68" s="771">
        <v>102.82239536841776</v>
      </c>
      <c r="U68" s="747"/>
      <c r="V68" s="757"/>
      <c r="W68" s="771">
        <v>102.82239536841776</v>
      </c>
      <c r="X68" s="747"/>
      <c r="Y68" s="757"/>
      <c r="Z68" s="771">
        <v>102.82239536841776</v>
      </c>
      <c r="AA68" s="747"/>
      <c r="AB68" s="757"/>
      <c r="AC68" s="771">
        <v>102.82239536841776</v>
      </c>
      <c r="AD68" s="747"/>
      <c r="AE68" s="757"/>
      <c r="AF68" s="771">
        <v>102.82239536841776</v>
      </c>
      <c r="AG68" s="747"/>
      <c r="AH68" s="757"/>
      <c r="AI68" s="771">
        <v>102.82239536841776</v>
      </c>
      <c r="AJ68" s="747"/>
      <c r="AK68" s="757"/>
      <c r="AL68" s="771">
        <v>102.82239536841776</v>
      </c>
      <c r="AM68" s="747"/>
      <c r="AN68" s="757"/>
      <c r="AO68" s="771">
        <v>102.82239536841776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2414.0446220152535</v>
      </c>
      <c r="F69" s="747"/>
      <c r="G69" s="757"/>
      <c r="H69" s="771">
        <v>201.17038516793778</v>
      </c>
      <c r="I69" s="747"/>
      <c r="J69" s="757"/>
      <c r="K69" s="771">
        <v>201.17038516793778</v>
      </c>
      <c r="L69" s="747"/>
      <c r="M69" s="757"/>
      <c r="N69" s="771">
        <v>201.17038516793778</v>
      </c>
      <c r="O69" s="747"/>
      <c r="P69" s="757"/>
      <c r="Q69" s="771">
        <v>201.17038516793778</v>
      </c>
      <c r="R69" s="747"/>
      <c r="S69" s="757"/>
      <c r="T69" s="771">
        <v>201.17038516793778</v>
      </c>
      <c r="U69" s="747"/>
      <c r="V69" s="757"/>
      <c r="W69" s="771">
        <v>201.17038516793778</v>
      </c>
      <c r="X69" s="747"/>
      <c r="Y69" s="757"/>
      <c r="Z69" s="771">
        <v>201.17038516793778</v>
      </c>
      <c r="AA69" s="747"/>
      <c r="AB69" s="757"/>
      <c r="AC69" s="771">
        <v>201.17038516793778</v>
      </c>
      <c r="AD69" s="747"/>
      <c r="AE69" s="757"/>
      <c r="AF69" s="771">
        <v>201.17038516793778</v>
      </c>
      <c r="AG69" s="747"/>
      <c r="AH69" s="757"/>
      <c r="AI69" s="771">
        <v>201.17038516793778</v>
      </c>
      <c r="AJ69" s="747"/>
      <c r="AK69" s="757"/>
      <c r="AL69" s="771">
        <v>201.17038516793778</v>
      </c>
      <c r="AM69" s="747"/>
      <c r="AN69" s="757"/>
      <c r="AO69" s="771">
        <v>201.17038516793778</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23216.474999999995</v>
      </c>
      <c r="F70" s="747"/>
      <c r="G70" s="757"/>
      <c r="H70" s="771">
        <v>1934.7062499999995</v>
      </c>
      <c r="I70" s="747"/>
      <c r="J70" s="757"/>
      <c r="K70" s="771">
        <v>1934.7062499999995</v>
      </c>
      <c r="L70" s="747"/>
      <c r="M70" s="757"/>
      <c r="N70" s="771">
        <v>1934.7062499999995</v>
      </c>
      <c r="O70" s="747"/>
      <c r="P70" s="757"/>
      <c r="Q70" s="771">
        <v>1934.7062499999995</v>
      </c>
      <c r="R70" s="747"/>
      <c r="S70" s="757"/>
      <c r="T70" s="771">
        <v>1934.7062499999995</v>
      </c>
      <c r="U70" s="747"/>
      <c r="V70" s="757"/>
      <c r="W70" s="771">
        <v>1934.7062499999995</v>
      </c>
      <c r="X70" s="747"/>
      <c r="Y70" s="757"/>
      <c r="Z70" s="771">
        <v>1934.7062499999995</v>
      </c>
      <c r="AA70" s="747"/>
      <c r="AB70" s="757"/>
      <c r="AC70" s="771">
        <v>1934.7062499999995</v>
      </c>
      <c r="AD70" s="747"/>
      <c r="AE70" s="757"/>
      <c r="AF70" s="771">
        <v>1934.7062499999995</v>
      </c>
      <c r="AG70" s="747"/>
      <c r="AH70" s="757"/>
      <c r="AI70" s="771">
        <v>1934.7062499999995</v>
      </c>
      <c r="AJ70" s="747"/>
      <c r="AK70" s="757"/>
      <c r="AL70" s="771">
        <v>1934.7062499999995</v>
      </c>
      <c r="AM70" s="747"/>
      <c r="AN70" s="757"/>
      <c r="AO70" s="771">
        <v>1934.7062499999995</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42711.177790357877</v>
      </c>
      <c r="F71" s="747"/>
      <c r="G71" s="757"/>
      <c r="H71" s="771">
        <v>2786.751354489752</v>
      </c>
      <c r="I71" s="747"/>
      <c r="J71" s="757"/>
      <c r="K71" s="771">
        <v>2686.9399197668931</v>
      </c>
      <c r="L71" s="747"/>
      <c r="M71" s="757"/>
      <c r="N71" s="771">
        <v>2842.7950373258304</v>
      </c>
      <c r="O71" s="747"/>
      <c r="P71" s="757"/>
      <c r="Q71" s="771">
        <v>3725.0158256549021</v>
      </c>
      <c r="R71" s="747"/>
      <c r="S71" s="757"/>
      <c r="T71" s="771">
        <v>3960.0994470928576</v>
      </c>
      <c r="U71" s="747"/>
      <c r="V71" s="757"/>
      <c r="W71" s="771">
        <v>3689.0505916353209</v>
      </c>
      <c r="X71" s="747"/>
      <c r="Y71" s="757"/>
      <c r="Z71" s="771">
        <v>3605.8793737115443</v>
      </c>
      <c r="AA71" s="747"/>
      <c r="AB71" s="757"/>
      <c r="AC71" s="771">
        <v>3899.9394827825868</v>
      </c>
      <c r="AD71" s="747"/>
      <c r="AE71" s="757"/>
      <c r="AF71" s="771">
        <v>3172.2328259854512</v>
      </c>
      <c r="AG71" s="747"/>
      <c r="AH71" s="757"/>
      <c r="AI71" s="771">
        <v>4283.1051167853166</v>
      </c>
      <c r="AJ71" s="747"/>
      <c r="AK71" s="757"/>
      <c r="AL71" s="771">
        <v>5035.3183170192588</v>
      </c>
      <c r="AM71" s="747"/>
      <c r="AN71" s="757"/>
      <c r="AO71" s="771">
        <v>3024.0504981081649</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0.14155568933814175</v>
      </c>
      <c r="E75" s="779">
        <v>388869.2197074322</v>
      </c>
      <c r="F75" s="777" t="s">
        <v>119</v>
      </c>
      <c r="G75" s="778">
        <v>0.15496178649916384</v>
      </c>
      <c r="H75" s="779">
        <v>31633.254847579276</v>
      </c>
      <c r="I75" s="777" t="s">
        <v>119</v>
      </c>
      <c r="J75" s="778">
        <v>0.16800491690128572</v>
      </c>
      <c r="K75" s="779">
        <v>31533.443412856417</v>
      </c>
      <c r="L75" s="777" t="s">
        <v>119</v>
      </c>
      <c r="M75" s="778">
        <v>0.17756777544463656</v>
      </c>
      <c r="N75" s="779">
        <v>31689.298530415355</v>
      </c>
      <c r="O75" s="777" t="s">
        <v>119</v>
      </c>
      <c r="P75" s="778">
        <v>0.15706223973958813</v>
      </c>
      <c r="Q75" s="779">
        <v>32571.519318744424</v>
      </c>
      <c r="R75" s="777" t="s">
        <v>119</v>
      </c>
      <c r="S75" s="778">
        <v>0.15518403584454293</v>
      </c>
      <c r="T75" s="779">
        <v>32806.602940182383</v>
      </c>
      <c r="U75" s="777" t="s">
        <v>119</v>
      </c>
      <c r="V75" s="778">
        <v>0.12988697238888469</v>
      </c>
      <c r="W75" s="779">
        <v>32535.554084724845</v>
      </c>
      <c r="X75" s="777" t="s">
        <v>119</v>
      </c>
      <c r="Y75" s="778">
        <v>0.12955494000185713</v>
      </c>
      <c r="Z75" s="779">
        <v>32452.382866801068</v>
      </c>
      <c r="AA75" s="777" t="s">
        <v>119</v>
      </c>
      <c r="AB75" s="778">
        <v>0.10850348914690236</v>
      </c>
      <c r="AC75" s="779">
        <v>32746.442975872109</v>
      </c>
      <c r="AD75" s="777" t="s">
        <v>119</v>
      </c>
      <c r="AE75" s="778">
        <v>0.14712454065621342</v>
      </c>
      <c r="AF75" s="779">
        <v>32018.736319074975</v>
      </c>
      <c r="AG75" s="777" t="s">
        <v>119</v>
      </c>
      <c r="AH75" s="778">
        <v>0.13361055172542671</v>
      </c>
      <c r="AI75" s="779">
        <v>33129.608609874842</v>
      </c>
      <c r="AJ75" s="777" t="s">
        <v>119</v>
      </c>
      <c r="AK75" s="778">
        <v>0.11355832755817541</v>
      </c>
      <c r="AL75" s="779">
        <v>33881.821810108784</v>
      </c>
      <c r="AM75" s="777" t="s">
        <v>119</v>
      </c>
      <c r="AN75" s="778">
        <v>0.16660031748308876</v>
      </c>
      <c r="AO75" s="779">
        <v>31870.553991197688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1.0518176664381125</v>
      </c>
      <c r="E77" s="789">
        <v>2889460.0925946105</v>
      </c>
      <c r="F77" s="777" t="s">
        <v>119</v>
      </c>
      <c r="G77" s="778">
        <v>1.142345104702525</v>
      </c>
      <c r="H77" s="789">
        <v>233193.58041303034</v>
      </c>
      <c r="I77" s="777" t="s">
        <v>119</v>
      </c>
      <c r="J77" s="778">
        <v>1.1255731560137028</v>
      </c>
      <c r="K77" s="789">
        <v>211262.84918817563</v>
      </c>
      <c r="L77" s="777" t="s">
        <v>119</v>
      </c>
      <c r="M77" s="778">
        <v>1.2941333944552857</v>
      </c>
      <c r="N77" s="789">
        <v>230955.07826452324</v>
      </c>
      <c r="O77" s="777" t="s">
        <v>119</v>
      </c>
      <c r="P77" s="778">
        <v>1.1133955843063774</v>
      </c>
      <c r="Q77" s="789">
        <v>230895.63630168443</v>
      </c>
      <c r="R77" s="777" t="s">
        <v>119</v>
      </c>
      <c r="S77" s="778">
        <v>1.1750583964248951</v>
      </c>
      <c r="T77" s="789">
        <v>248412.62848490715</v>
      </c>
      <c r="U77" s="777" t="s">
        <v>119</v>
      </c>
      <c r="V77" s="778">
        <v>0.96550648707046316</v>
      </c>
      <c r="W77" s="789">
        <v>241850.95665469518</v>
      </c>
      <c r="X77" s="777" t="s">
        <v>119</v>
      </c>
      <c r="Y77" s="778">
        <v>0.97805437255756611</v>
      </c>
      <c r="Z77" s="789">
        <v>244994.09256283118</v>
      </c>
      <c r="AA77" s="777" t="s">
        <v>119</v>
      </c>
      <c r="AB77" s="778">
        <v>0.89251279665929606</v>
      </c>
      <c r="AC77" s="789">
        <v>269361.10194087855</v>
      </c>
      <c r="AD77" s="777" t="s">
        <v>119</v>
      </c>
      <c r="AE77" s="778">
        <v>1.0679424548841379</v>
      </c>
      <c r="AF77" s="789">
        <v>232416.48004042031</v>
      </c>
      <c r="AG77" s="777" t="s">
        <v>119</v>
      </c>
      <c r="AH77" s="778">
        <v>1.0982561509578477</v>
      </c>
      <c r="AI77" s="789">
        <v>272319.78286709613</v>
      </c>
      <c r="AJ77" s="777" t="s">
        <v>119</v>
      </c>
      <c r="AK77" s="778">
        <v>0.87335597086930339</v>
      </c>
      <c r="AL77" s="789">
        <v>260578.7881705903</v>
      </c>
      <c r="AM77" s="777" t="s">
        <v>119</v>
      </c>
      <c r="AN77" s="778">
        <v>1.114582843870789</v>
      </c>
      <c r="AO77" s="789">
        <v>213219.11770577772</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100000</v>
      </c>
      <c r="F78" s="747"/>
      <c r="G78" s="757"/>
      <c r="H78" s="771">
        <v>0</v>
      </c>
      <c r="I78" s="747"/>
      <c r="J78" s="757"/>
      <c r="K78" s="771">
        <v>0</v>
      </c>
      <c r="L78" s="747"/>
      <c r="M78" s="757"/>
      <c r="N78" s="771">
        <v>25000</v>
      </c>
      <c r="O78" s="747"/>
      <c r="P78" s="757"/>
      <c r="Q78" s="771">
        <v>0</v>
      </c>
      <c r="R78" s="747"/>
      <c r="S78" s="757"/>
      <c r="T78" s="771">
        <v>0</v>
      </c>
      <c r="U78" s="747"/>
      <c r="V78" s="757"/>
      <c r="W78" s="771">
        <v>25000</v>
      </c>
      <c r="X78" s="747"/>
      <c r="Y78" s="757"/>
      <c r="Z78" s="771">
        <v>0</v>
      </c>
      <c r="AA78" s="747"/>
      <c r="AB78" s="757"/>
      <c r="AC78" s="771">
        <v>0</v>
      </c>
      <c r="AD78" s="747"/>
      <c r="AE78" s="757"/>
      <c r="AF78" s="771">
        <v>25000</v>
      </c>
      <c r="AG78" s="747"/>
      <c r="AH78" s="757"/>
      <c r="AI78" s="771">
        <v>0</v>
      </c>
      <c r="AJ78" s="747"/>
      <c r="AK78" s="757"/>
      <c r="AL78" s="771">
        <v>0</v>
      </c>
      <c r="AM78" s="747"/>
      <c r="AN78" s="757"/>
      <c r="AO78" s="771">
        <v>25000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1145900.2452170278</v>
      </c>
      <c r="F81" s="747"/>
      <c r="G81" s="757"/>
      <c r="H81" s="771">
        <v>84434.754910728356</v>
      </c>
      <c r="I81" s="747"/>
      <c r="J81" s="757"/>
      <c r="K81" s="771">
        <v>76895.937507984767</v>
      </c>
      <c r="L81" s="747"/>
      <c r="M81" s="757"/>
      <c r="N81" s="771">
        <v>72372.647066338584</v>
      </c>
      <c r="O81" s="747"/>
      <c r="P81" s="757"/>
      <c r="Q81" s="771">
        <v>85942.518391277088</v>
      </c>
      <c r="R81" s="747"/>
      <c r="S81" s="757"/>
      <c r="T81" s="771">
        <v>87450.281871825806</v>
      </c>
      <c r="U81" s="747"/>
      <c r="V81" s="757"/>
      <c r="W81" s="771">
        <v>105543.44363841046</v>
      </c>
      <c r="X81" s="747"/>
      <c r="Y81" s="757"/>
      <c r="Z81" s="771">
        <v>105543.44363841046</v>
      </c>
      <c r="AA81" s="747"/>
      <c r="AB81" s="757"/>
      <c r="AC81" s="771">
        <v>128159.89584664126</v>
      </c>
      <c r="AD81" s="747"/>
      <c r="AE81" s="757"/>
      <c r="AF81" s="771">
        <v>90465.808832923241</v>
      </c>
      <c r="AG81" s="747"/>
      <c r="AH81" s="757"/>
      <c r="AI81" s="771">
        <v>104035.68015786173</v>
      </c>
      <c r="AJ81" s="747"/>
      <c r="AK81" s="757"/>
      <c r="AL81" s="771">
        <v>126652.13236609256</v>
      </c>
      <c r="AM81" s="747"/>
      <c r="AN81" s="757"/>
      <c r="AO81" s="771">
        <v>78403.70098853347</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379239.99999999994</v>
      </c>
      <c r="F85" s="747"/>
      <c r="G85" s="757"/>
      <c r="H85" s="771">
        <v>28442.999999999996</v>
      </c>
      <c r="I85" s="747"/>
      <c r="J85" s="757"/>
      <c r="K85" s="771">
        <v>26072.749999999996</v>
      </c>
      <c r="L85" s="747"/>
      <c r="M85" s="757"/>
      <c r="N85" s="771">
        <v>24650.6</v>
      </c>
      <c r="O85" s="747"/>
      <c r="P85" s="757"/>
      <c r="Q85" s="771">
        <v>28442.999999999996</v>
      </c>
      <c r="R85" s="747"/>
      <c r="S85" s="757"/>
      <c r="T85" s="771">
        <v>28917.049999999996</v>
      </c>
      <c r="U85" s="747"/>
      <c r="V85" s="757"/>
      <c r="W85" s="771">
        <v>34605.649999999994</v>
      </c>
      <c r="X85" s="747"/>
      <c r="Y85" s="757"/>
      <c r="Z85" s="771">
        <v>34605.649999999994</v>
      </c>
      <c r="AA85" s="747"/>
      <c r="AB85" s="757"/>
      <c r="AC85" s="771">
        <v>41716.399999999994</v>
      </c>
      <c r="AD85" s="747"/>
      <c r="AE85" s="757"/>
      <c r="AF85" s="771">
        <v>29865.149999999998</v>
      </c>
      <c r="AG85" s="747"/>
      <c r="AH85" s="757"/>
      <c r="AI85" s="771">
        <v>34131.599999999999</v>
      </c>
      <c r="AJ85" s="747"/>
      <c r="AK85" s="757"/>
      <c r="AL85" s="771">
        <v>41242.35</v>
      </c>
      <c r="AM85" s="747"/>
      <c r="AN85" s="757"/>
      <c r="AO85" s="771">
        <v>26546.799999999996</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1625140.2452170278</v>
      </c>
      <c r="F86" s="790"/>
      <c r="G86" s="791"/>
      <c r="H86" s="792">
        <v>112877.75491072836</v>
      </c>
      <c r="I86" s="790"/>
      <c r="J86" s="791"/>
      <c r="K86" s="792">
        <v>102968.68750798477</v>
      </c>
      <c r="L86" s="790"/>
      <c r="M86" s="791"/>
      <c r="N86" s="792">
        <v>122023.24706633858</v>
      </c>
      <c r="O86" s="790"/>
      <c r="P86" s="791"/>
      <c r="Q86" s="792">
        <v>114385.51839127709</v>
      </c>
      <c r="R86" s="790"/>
      <c r="S86" s="791"/>
      <c r="T86" s="792">
        <v>116367.33187182579</v>
      </c>
      <c r="U86" s="790"/>
      <c r="V86" s="791"/>
      <c r="W86" s="792">
        <v>165149.09363841044</v>
      </c>
      <c r="X86" s="790"/>
      <c r="Y86" s="791"/>
      <c r="Z86" s="792">
        <v>140149.09363841044</v>
      </c>
      <c r="AA86" s="790"/>
      <c r="AB86" s="791"/>
      <c r="AC86" s="792">
        <v>169876.29584664124</v>
      </c>
      <c r="AD86" s="790"/>
      <c r="AE86" s="791"/>
      <c r="AF86" s="792">
        <v>145330.95883292324</v>
      </c>
      <c r="AG86" s="790"/>
      <c r="AH86" s="791"/>
      <c r="AI86" s="792">
        <v>138167.28015786174</v>
      </c>
      <c r="AJ86" s="790"/>
      <c r="AK86" s="791"/>
      <c r="AL86" s="792">
        <v>167894.48236609256</v>
      </c>
      <c r="AM86" s="790"/>
      <c r="AN86" s="791"/>
      <c r="AO86" s="792">
        <v>129950.50098853346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1482791.3533493567</v>
      </c>
      <c r="F88" s="796"/>
      <c r="G88" s="797"/>
      <c r="H88" s="798">
        <v>83820.017031689218</v>
      </c>
      <c r="I88" s="796"/>
      <c r="J88" s="797"/>
      <c r="K88" s="798">
        <v>79399.412975034575</v>
      </c>
      <c r="L88" s="796"/>
      <c r="M88" s="797"/>
      <c r="N88" s="798">
        <v>69531.284933467774</v>
      </c>
      <c r="O88" s="796"/>
      <c r="P88" s="797"/>
      <c r="Q88" s="798">
        <v>90869.576742798643</v>
      </c>
      <c r="R88" s="796"/>
      <c r="S88" s="797"/>
      <c r="T88" s="798">
        <v>79359.199742759694</v>
      </c>
      <c r="U88" s="796"/>
      <c r="V88" s="797"/>
      <c r="W88" s="798">
        <v>173789.41787455487</v>
      </c>
      <c r="X88" s="796"/>
      <c r="Y88" s="797"/>
      <c r="Z88" s="798">
        <v>145646.28196641887</v>
      </c>
      <c r="AA88" s="796"/>
      <c r="AB88" s="797"/>
      <c r="AC88" s="798">
        <v>202316.02292368351</v>
      </c>
      <c r="AD88" s="796"/>
      <c r="AE88" s="797"/>
      <c r="AF88" s="798">
        <v>130544.63196928191</v>
      </c>
      <c r="AG88" s="796"/>
      <c r="AH88" s="797"/>
      <c r="AI88" s="798">
        <v>113804.02603826366</v>
      </c>
      <c r="AJ88" s="796"/>
      <c r="AK88" s="797"/>
      <c r="AL88" s="798">
        <v>205680.61853582668</v>
      </c>
      <c r="AM88" s="796"/>
      <c r="AN88" s="797"/>
      <c r="AO88" s="798">
        <v>108030.86261557753</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3933</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2025</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18869045.323906403</v>
      </c>
      <c r="F96" s="735"/>
      <c r="G96" s="736"/>
      <c r="H96" s="805">
        <v>1038927.9928148522</v>
      </c>
      <c r="I96" s="735"/>
      <c r="J96" s="736"/>
      <c r="K96" s="805">
        <v>1318990.1726734482</v>
      </c>
      <c r="L96" s="735"/>
      <c r="M96" s="736"/>
      <c r="N96" s="805">
        <v>1322790.1726734482</v>
      </c>
      <c r="O96" s="735"/>
      <c r="P96" s="736"/>
      <c r="Q96" s="805">
        <v>1417410.8992929801</v>
      </c>
      <c r="R96" s="735"/>
      <c r="S96" s="736"/>
      <c r="T96" s="805">
        <v>2037727.6949818912</v>
      </c>
      <c r="U96" s="735"/>
      <c r="V96" s="736"/>
      <c r="W96" s="805">
        <v>1743301.3697993888</v>
      </c>
      <c r="X96" s="735"/>
      <c r="Y96" s="736"/>
      <c r="Z96" s="805">
        <v>1699373.0791515762</v>
      </c>
      <c r="AA96" s="735"/>
      <c r="AB96" s="736"/>
      <c r="AC96" s="805">
        <v>1510131.6259125122</v>
      </c>
      <c r="AD96" s="735"/>
      <c r="AE96" s="736"/>
      <c r="AF96" s="805">
        <v>1226269.4460539161</v>
      </c>
      <c r="AG96" s="735"/>
      <c r="AH96" s="736"/>
      <c r="AI96" s="805">
        <v>2168676.7122492362</v>
      </c>
      <c r="AJ96" s="735"/>
      <c r="AK96" s="736"/>
      <c r="AL96" s="805">
        <v>1792093.8057711083</v>
      </c>
      <c r="AM96" s="735"/>
      <c r="AN96" s="736"/>
      <c r="AO96" s="805">
        <v>1593352.3525320443</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287</v>
      </c>
      <c r="D97" s="740">
        <v>1400</v>
      </c>
      <c r="E97" s="741">
        <v>401800</v>
      </c>
      <c r="F97" s="742">
        <v>16</v>
      </c>
      <c r="G97" s="740">
        <v>1400</v>
      </c>
      <c r="H97" s="743">
        <v>22400</v>
      </c>
      <c r="I97" s="742">
        <v>20</v>
      </c>
      <c r="J97" s="740">
        <v>1400</v>
      </c>
      <c r="K97" s="743">
        <v>28000</v>
      </c>
      <c r="L97" s="742">
        <v>20</v>
      </c>
      <c r="M97" s="740">
        <v>1400</v>
      </c>
      <c r="N97" s="743">
        <v>28000</v>
      </c>
      <c r="O97" s="742">
        <v>22</v>
      </c>
      <c r="P97" s="740">
        <v>1400</v>
      </c>
      <c r="Q97" s="743">
        <v>30800</v>
      </c>
      <c r="R97" s="742">
        <v>31</v>
      </c>
      <c r="S97" s="740">
        <v>1400</v>
      </c>
      <c r="T97" s="743">
        <v>43400</v>
      </c>
      <c r="U97" s="742">
        <v>30</v>
      </c>
      <c r="V97" s="740">
        <v>1400</v>
      </c>
      <c r="W97" s="743">
        <v>42000</v>
      </c>
      <c r="X97" s="742">
        <v>26</v>
      </c>
      <c r="Y97" s="740">
        <v>1400</v>
      </c>
      <c r="Z97" s="743">
        <v>36400</v>
      </c>
      <c r="AA97" s="742">
        <v>23</v>
      </c>
      <c r="AB97" s="740">
        <v>1400</v>
      </c>
      <c r="AC97" s="743">
        <v>32200</v>
      </c>
      <c r="AD97" s="742">
        <v>19</v>
      </c>
      <c r="AE97" s="740">
        <v>1400</v>
      </c>
      <c r="AF97" s="743">
        <v>26600</v>
      </c>
      <c r="AG97" s="742">
        <v>33</v>
      </c>
      <c r="AH97" s="740">
        <v>1400</v>
      </c>
      <c r="AI97" s="743">
        <v>46200</v>
      </c>
      <c r="AJ97" s="742">
        <v>27</v>
      </c>
      <c r="AK97" s="740">
        <v>1400</v>
      </c>
      <c r="AL97" s="743">
        <v>37800</v>
      </c>
      <c r="AM97" s="742">
        <v>20</v>
      </c>
      <c r="AN97" s="740">
        <v>1400</v>
      </c>
      <c r="AO97" s="743">
        <v>28000</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34</v>
      </c>
      <c r="D98" s="740">
        <v>1800</v>
      </c>
      <c r="E98" s="741">
        <v>61200</v>
      </c>
      <c r="F98" s="742">
        <v>2</v>
      </c>
      <c r="G98" s="740">
        <v>1800</v>
      </c>
      <c r="H98" s="743">
        <v>3600</v>
      </c>
      <c r="I98" s="742">
        <v>2</v>
      </c>
      <c r="J98" s="740">
        <v>1800</v>
      </c>
      <c r="K98" s="743">
        <v>3600</v>
      </c>
      <c r="L98" s="742">
        <v>2</v>
      </c>
      <c r="M98" s="740">
        <v>1800</v>
      </c>
      <c r="N98" s="743">
        <v>3600</v>
      </c>
      <c r="O98" s="742">
        <v>3</v>
      </c>
      <c r="P98" s="740">
        <v>1800</v>
      </c>
      <c r="Q98" s="743">
        <v>5400</v>
      </c>
      <c r="R98" s="742">
        <v>4</v>
      </c>
      <c r="S98" s="740">
        <v>1800</v>
      </c>
      <c r="T98" s="743">
        <v>7200</v>
      </c>
      <c r="U98" s="742">
        <v>3</v>
      </c>
      <c r="V98" s="740">
        <v>1800</v>
      </c>
      <c r="W98" s="743">
        <v>5400</v>
      </c>
      <c r="X98" s="742">
        <v>3</v>
      </c>
      <c r="Y98" s="740">
        <v>1800</v>
      </c>
      <c r="Z98" s="743">
        <v>5400</v>
      </c>
      <c r="AA98" s="742">
        <v>3</v>
      </c>
      <c r="AB98" s="740">
        <v>1800</v>
      </c>
      <c r="AC98" s="743">
        <v>5400</v>
      </c>
      <c r="AD98" s="742">
        <v>2</v>
      </c>
      <c r="AE98" s="740">
        <v>1800</v>
      </c>
      <c r="AF98" s="743">
        <v>3600</v>
      </c>
      <c r="AG98" s="742">
        <v>4</v>
      </c>
      <c r="AH98" s="740">
        <v>1800</v>
      </c>
      <c r="AI98" s="743">
        <v>7200</v>
      </c>
      <c r="AJ98" s="742">
        <v>3</v>
      </c>
      <c r="AK98" s="740">
        <v>1800</v>
      </c>
      <c r="AL98" s="743">
        <v>5400</v>
      </c>
      <c r="AM98" s="742">
        <v>3</v>
      </c>
      <c r="AN98" s="740">
        <v>1800</v>
      </c>
      <c r="AO98" s="743">
        <v>5400</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50</v>
      </c>
      <c r="D99" s="740">
        <v>1500</v>
      </c>
      <c r="E99" s="741">
        <v>75000</v>
      </c>
      <c r="F99" s="742">
        <v>3</v>
      </c>
      <c r="G99" s="740">
        <v>1500</v>
      </c>
      <c r="H99" s="743">
        <v>4500</v>
      </c>
      <c r="I99" s="742">
        <v>3</v>
      </c>
      <c r="J99" s="740">
        <v>1500</v>
      </c>
      <c r="K99" s="743">
        <v>4500</v>
      </c>
      <c r="L99" s="742">
        <v>5</v>
      </c>
      <c r="M99" s="740">
        <v>1500</v>
      </c>
      <c r="N99" s="743">
        <v>7500</v>
      </c>
      <c r="O99" s="742">
        <v>4</v>
      </c>
      <c r="P99" s="740">
        <v>1500</v>
      </c>
      <c r="Q99" s="743">
        <v>6000</v>
      </c>
      <c r="R99" s="742">
        <v>5</v>
      </c>
      <c r="S99" s="740">
        <v>1500</v>
      </c>
      <c r="T99" s="743">
        <v>7500</v>
      </c>
      <c r="U99" s="742">
        <v>5</v>
      </c>
      <c r="V99" s="740">
        <v>1500</v>
      </c>
      <c r="W99" s="743">
        <v>7500</v>
      </c>
      <c r="X99" s="742">
        <v>5</v>
      </c>
      <c r="Y99" s="740">
        <v>1500</v>
      </c>
      <c r="Z99" s="743">
        <v>7500</v>
      </c>
      <c r="AA99" s="742">
        <v>4</v>
      </c>
      <c r="AB99" s="740">
        <v>1500</v>
      </c>
      <c r="AC99" s="743">
        <v>6000</v>
      </c>
      <c r="AD99" s="742">
        <v>3</v>
      </c>
      <c r="AE99" s="740">
        <v>1500</v>
      </c>
      <c r="AF99" s="743">
        <v>4500</v>
      </c>
      <c r="AG99" s="742">
        <v>5</v>
      </c>
      <c r="AH99" s="740">
        <v>1500</v>
      </c>
      <c r="AI99" s="743">
        <v>7500</v>
      </c>
      <c r="AJ99" s="742">
        <v>5</v>
      </c>
      <c r="AK99" s="740">
        <v>1500</v>
      </c>
      <c r="AL99" s="743">
        <v>7500</v>
      </c>
      <c r="AM99" s="742">
        <v>3</v>
      </c>
      <c r="AN99" s="740">
        <v>1500</v>
      </c>
      <c r="AO99" s="743">
        <v>4500</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371</v>
      </c>
      <c r="D100" s="745">
        <v>1450.134770889488</v>
      </c>
      <c r="E100" s="746">
        <v>538000</v>
      </c>
      <c r="F100" s="744">
        <v>21</v>
      </c>
      <c r="G100" s="745">
        <v>1452.3809523809523</v>
      </c>
      <c r="H100" s="746">
        <v>30500</v>
      </c>
      <c r="I100" s="744">
        <v>25</v>
      </c>
      <c r="J100" s="745">
        <v>1444</v>
      </c>
      <c r="K100" s="746">
        <v>36100</v>
      </c>
      <c r="L100" s="744">
        <v>27</v>
      </c>
      <c r="M100" s="745">
        <v>1448.148148148148</v>
      </c>
      <c r="N100" s="746">
        <v>39100</v>
      </c>
      <c r="O100" s="744">
        <v>29</v>
      </c>
      <c r="P100" s="745">
        <v>1455.1724137931035</v>
      </c>
      <c r="Q100" s="746">
        <v>42200</v>
      </c>
      <c r="R100" s="744">
        <v>40</v>
      </c>
      <c r="S100" s="745">
        <v>1452.5</v>
      </c>
      <c r="T100" s="746">
        <v>58100</v>
      </c>
      <c r="U100" s="744">
        <v>38</v>
      </c>
      <c r="V100" s="745">
        <v>1444.7368421052631</v>
      </c>
      <c r="W100" s="746">
        <v>54900</v>
      </c>
      <c r="X100" s="744">
        <v>34</v>
      </c>
      <c r="Y100" s="745">
        <v>1450</v>
      </c>
      <c r="Z100" s="746">
        <v>49300</v>
      </c>
      <c r="AA100" s="744">
        <v>30</v>
      </c>
      <c r="AB100" s="745">
        <v>1453.3333333333333</v>
      </c>
      <c r="AC100" s="746">
        <v>43600</v>
      </c>
      <c r="AD100" s="744">
        <v>24</v>
      </c>
      <c r="AE100" s="745">
        <v>1445.8333333333333</v>
      </c>
      <c r="AF100" s="746">
        <v>34700</v>
      </c>
      <c r="AG100" s="744">
        <v>42</v>
      </c>
      <c r="AH100" s="745">
        <v>1450</v>
      </c>
      <c r="AI100" s="746">
        <v>60900</v>
      </c>
      <c r="AJ100" s="744">
        <v>35</v>
      </c>
      <c r="AK100" s="745">
        <v>1448.5714285714287</v>
      </c>
      <c r="AL100" s="746">
        <v>50700</v>
      </c>
      <c r="AM100" s="744">
        <v>26</v>
      </c>
      <c r="AN100" s="745">
        <v>1457.6923076923076</v>
      </c>
      <c r="AO100" s="746">
        <v>37900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409</v>
      </c>
      <c r="D103" s="740">
        <v>400</v>
      </c>
      <c r="E103" s="741">
        <v>163600</v>
      </c>
      <c r="F103" s="742">
        <v>22</v>
      </c>
      <c r="G103" s="740">
        <v>400</v>
      </c>
      <c r="H103" s="743">
        <v>8800</v>
      </c>
      <c r="I103" s="742">
        <v>29</v>
      </c>
      <c r="J103" s="740">
        <v>400</v>
      </c>
      <c r="K103" s="743">
        <v>11600</v>
      </c>
      <c r="L103" s="742">
        <v>29</v>
      </c>
      <c r="M103" s="740">
        <v>400</v>
      </c>
      <c r="N103" s="743">
        <v>11600</v>
      </c>
      <c r="O103" s="742">
        <v>31</v>
      </c>
      <c r="P103" s="740">
        <v>400</v>
      </c>
      <c r="Q103" s="743">
        <v>12400</v>
      </c>
      <c r="R103" s="742">
        <v>44</v>
      </c>
      <c r="S103" s="740">
        <v>400</v>
      </c>
      <c r="T103" s="743">
        <v>17600</v>
      </c>
      <c r="U103" s="742">
        <v>38</v>
      </c>
      <c r="V103" s="740">
        <v>400</v>
      </c>
      <c r="W103" s="743">
        <v>15200</v>
      </c>
      <c r="X103" s="742">
        <v>37</v>
      </c>
      <c r="Y103" s="740">
        <v>400</v>
      </c>
      <c r="Z103" s="743">
        <v>14800</v>
      </c>
      <c r="AA103" s="742">
        <v>33</v>
      </c>
      <c r="AB103" s="740">
        <v>400</v>
      </c>
      <c r="AC103" s="743">
        <v>13200</v>
      </c>
      <c r="AD103" s="742">
        <v>27</v>
      </c>
      <c r="AE103" s="740">
        <v>400</v>
      </c>
      <c r="AF103" s="743">
        <v>10800</v>
      </c>
      <c r="AG103" s="742">
        <v>45</v>
      </c>
      <c r="AH103" s="740">
        <v>400</v>
      </c>
      <c r="AI103" s="743">
        <v>18000</v>
      </c>
      <c r="AJ103" s="742">
        <v>39</v>
      </c>
      <c r="AK103" s="740">
        <v>400</v>
      </c>
      <c r="AL103" s="743">
        <v>15600</v>
      </c>
      <c r="AM103" s="742">
        <v>35</v>
      </c>
      <c r="AN103" s="740">
        <v>400</v>
      </c>
      <c r="AO103" s="743">
        <v>14000</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600</v>
      </c>
      <c r="E105" s="741">
        <v>222600</v>
      </c>
      <c r="F105" s="742"/>
      <c r="G105" s="740">
        <v>600</v>
      </c>
      <c r="H105" s="743">
        <v>12600</v>
      </c>
      <c r="I105" s="742"/>
      <c r="J105" s="740">
        <v>600</v>
      </c>
      <c r="K105" s="743">
        <v>15000</v>
      </c>
      <c r="L105" s="742"/>
      <c r="M105" s="740">
        <v>600</v>
      </c>
      <c r="N105" s="743">
        <v>16200</v>
      </c>
      <c r="O105" s="742"/>
      <c r="P105" s="740">
        <v>600</v>
      </c>
      <c r="Q105" s="743">
        <v>17400</v>
      </c>
      <c r="R105" s="742"/>
      <c r="S105" s="740">
        <v>600</v>
      </c>
      <c r="T105" s="743">
        <v>24000</v>
      </c>
      <c r="U105" s="742"/>
      <c r="V105" s="740">
        <v>600</v>
      </c>
      <c r="W105" s="743">
        <v>22800</v>
      </c>
      <c r="X105" s="742"/>
      <c r="Y105" s="740">
        <v>600</v>
      </c>
      <c r="Z105" s="743">
        <v>20400</v>
      </c>
      <c r="AA105" s="742"/>
      <c r="AB105" s="740">
        <v>600</v>
      </c>
      <c r="AC105" s="743">
        <v>18000</v>
      </c>
      <c r="AD105" s="742"/>
      <c r="AE105" s="740">
        <v>600</v>
      </c>
      <c r="AF105" s="743">
        <v>14400</v>
      </c>
      <c r="AG105" s="742"/>
      <c r="AH105" s="740">
        <v>600</v>
      </c>
      <c r="AI105" s="743">
        <v>25200</v>
      </c>
      <c r="AJ105" s="742"/>
      <c r="AK105" s="740">
        <v>600</v>
      </c>
      <c r="AL105" s="743">
        <v>21000</v>
      </c>
      <c r="AM105" s="742"/>
      <c r="AN105" s="740">
        <v>600</v>
      </c>
      <c r="AO105" s="743">
        <v>15600</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1250</v>
      </c>
      <c r="E106" s="741">
        <v>463750</v>
      </c>
      <c r="F106" s="742"/>
      <c r="G106" s="740">
        <v>1250</v>
      </c>
      <c r="H106" s="743">
        <v>26250</v>
      </c>
      <c r="I106" s="742"/>
      <c r="J106" s="740">
        <v>1250</v>
      </c>
      <c r="K106" s="743">
        <v>31250</v>
      </c>
      <c r="L106" s="742"/>
      <c r="M106" s="740">
        <v>1250</v>
      </c>
      <c r="N106" s="743">
        <v>33750</v>
      </c>
      <c r="O106" s="742"/>
      <c r="P106" s="740">
        <v>1250</v>
      </c>
      <c r="Q106" s="743">
        <v>36250</v>
      </c>
      <c r="R106" s="742"/>
      <c r="S106" s="740">
        <v>1250</v>
      </c>
      <c r="T106" s="743">
        <v>50000</v>
      </c>
      <c r="U106" s="742"/>
      <c r="V106" s="740">
        <v>1250</v>
      </c>
      <c r="W106" s="743">
        <v>47500</v>
      </c>
      <c r="X106" s="742"/>
      <c r="Y106" s="740">
        <v>1250</v>
      </c>
      <c r="Z106" s="743">
        <v>42500</v>
      </c>
      <c r="AA106" s="742"/>
      <c r="AB106" s="740">
        <v>1250</v>
      </c>
      <c r="AC106" s="743">
        <v>37500</v>
      </c>
      <c r="AD106" s="742"/>
      <c r="AE106" s="740">
        <v>1250</v>
      </c>
      <c r="AF106" s="743">
        <v>30000</v>
      </c>
      <c r="AG106" s="742"/>
      <c r="AH106" s="740">
        <v>1250</v>
      </c>
      <c r="AI106" s="743">
        <v>52500</v>
      </c>
      <c r="AJ106" s="742"/>
      <c r="AK106" s="740">
        <v>1250</v>
      </c>
      <c r="AL106" s="743">
        <v>43750</v>
      </c>
      <c r="AM106" s="742"/>
      <c r="AN106" s="740">
        <v>1250</v>
      </c>
      <c r="AO106" s="743">
        <v>32500</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18550</v>
      </c>
      <c r="F107" s="742"/>
      <c r="G107" s="807">
        <v>50</v>
      </c>
      <c r="H107" s="743">
        <v>1050</v>
      </c>
      <c r="I107" s="742"/>
      <c r="J107" s="807">
        <v>50</v>
      </c>
      <c r="K107" s="743">
        <v>1250</v>
      </c>
      <c r="L107" s="742"/>
      <c r="M107" s="807">
        <v>50</v>
      </c>
      <c r="N107" s="743">
        <v>1350</v>
      </c>
      <c r="O107" s="742"/>
      <c r="P107" s="807">
        <v>50</v>
      </c>
      <c r="Q107" s="743">
        <v>1450</v>
      </c>
      <c r="R107" s="742"/>
      <c r="S107" s="807">
        <v>50</v>
      </c>
      <c r="T107" s="743">
        <v>2000</v>
      </c>
      <c r="U107" s="742"/>
      <c r="V107" s="807">
        <v>50</v>
      </c>
      <c r="W107" s="743">
        <v>1900</v>
      </c>
      <c r="X107" s="742"/>
      <c r="Y107" s="807">
        <v>50</v>
      </c>
      <c r="Z107" s="743">
        <v>1700</v>
      </c>
      <c r="AA107" s="742"/>
      <c r="AB107" s="807">
        <v>50</v>
      </c>
      <c r="AC107" s="743">
        <v>1500</v>
      </c>
      <c r="AD107" s="742"/>
      <c r="AE107" s="807">
        <v>50</v>
      </c>
      <c r="AF107" s="743">
        <v>1200</v>
      </c>
      <c r="AG107" s="742"/>
      <c r="AH107" s="807">
        <v>50</v>
      </c>
      <c r="AI107" s="743">
        <v>2100</v>
      </c>
      <c r="AJ107" s="742"/>
      <c r="AK107" s="807">
        <v>50</v>
      </c>
      <c r="AL107" s="743">
        <v>1750</v>
      </c>
      <c r="AM107" s="742"/>
      <c r="AN107" s="807">
        <v>50</v>
      </c>
      <c r="AO107" s="743">
        <v>1300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371</v>
      </c>
      <c r="D108" s="745">
        <v>1900</v>
      </c>
      <c r="E108" s="746">
        <v>704900</v>
      </c>
      <c r="F108" s="744">
        <v>21</v>
      </c>
      <c r="G108" s="745">
        <v>1900</v>
      </c>
      <c r="H108" s="746">
        <v>39900</v>
      </c>
      <c r="I108" s="744">
        <v>25</v>
      </c>
      <c r="J108" s="745">
        <v>1900</v>
      </c>
      <c r="K108" s="746">
        <v>47500</v>
      </c>
      <c r="L108" s="744">
        <v>27</v>
      </c>
      <c r="M108" s="745">
        <v>1900</v>
      </c>
      <c r="N108" s="746">
        <v>51300</v>
      </c>
      <c r="O108" s="744">
        <v>29</v>
      </c>
      <c r="P108" s="745">
        <v>1900</v>
      </c>
      <c r="Q108" s="746">
        <v>55100</v>
      </c>
      <c r="R108" s="744">
        <v>40</v>
      </c>
      <c r="S108" s="745">
        <v>1900</v>
      </c>
      <c r="T108" s="746">
        <v>76000</v>
      </c>
      <c r="U108" s="744">
        <v>38</v>
      </c>
      <c r="V108" s="745">
        <v>1900</v>
      </c>
      <c r="W108" s="746">
        <v>72200</v>
      </c>
      <c r="X108" s="744">
        <v>34</v>
      </c>
      <c r="Y108" s="745">
        <v>1900</v>
      </c>
      <c r="Z108" s="746">
        <v>64600</v>
      </c>
      <c r="AA108" s="744">
        <v>30</v>
      </c>
      <c r="AB108" s="745">
        <v>1900</v>
      </c>
      <c r="AC108" s="746">
        <v>57000</v>
      </c>
      <c r="AD108" s="744">
        <v>24</v>
      </c>
      <c r="AE108" s="745">
        <v>1900</v>
      </c>
      <c r="AF108" s="746">
        <v>45600</v>
      </c>
      <c r="AG108" s="744">
        <v>42</v>
      </c>
      <c r="AH108" s="745">
        <v>1900</v>
      </c>
      <c r="AI108" s="746">
        <v>79800</v>
      </c>
      <c r="AJ108" s="744">
        <v>35</v>
      </c>
      <c r="AK108" s="745">
        <v>1900</v>
      </c>
      <c r="AL108" s="746">
        <v>66500</v>
      </c>
      <c r="AM108" s="744">
        <v>26</v>
      </c>
      <c r="AN108" s="745">
        <v>1900</v>
      </c>
      <c r="AO108" s="746">
        <v>49400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780</v>
      </c>
      <c r="D111" s="760">
        <v>1803.2051282051282</v>
      </c>
      <c r="E111" s="761">
        <v>1406500</v>
      </c>
      <c r="F111" s="759">
        <v>43</v>
      </c>
      <c r="G111" s="760">
        <v>1841.8604651162791</v>
      </c>
      <c r="H111" s="761">
        <v>79200</v>
      </c>
      <c r="I111" s="759">
        <v>54</v>
      </c>
      <c r="J111" s="760">
        <v>1762.962962962963</v>
      </c>
      <c r="K111" s="761">
        <v>95200</v>
      </c>
      <c r="L111" s="759">
        <v>56</v>
      </c>
      <c r="M111" s="760">
        <v>1821.4285714285713</v>
      </c>
      <c r="N111" s="761">
        <v>102000</v>
      </c>
      <c r="O111" s="759">
        <v>60</v>
      </c>
      <c r="P111" s="760">
        <v>1828.3333333333333</v>
      </c>
      <c r="Q111" s="761">
        <v>109700</v>
      </c>
      <c r="R111" s="759">
        <v>84</v>
      </c>
      <c r="S111" s="760">
        <v>1805.952380952381</v>
      </c>
      <c r="T111" s="761">
        <v>151700</v>
      </c>
      <c r="U111" s="759">
        <v>76</v>
      </c>
      <c r="V111" s="760">
        <v>1872.3684210526317</v>
      </c>
      <c r="W111" s="761">
        <v>142300</v>
      </c>
      <c r="X111" s="759">
        <v>71</v>
      </c>
      <c r="Y111" s="760">
        <v>1812.6760563380283</v>
      </c>
      <c r="Z111" s="761">
        <v>128700</v>
      </c>
      <c r="AA111" s="759">
        <v>63</v>
      </c>
      <c r="AB111" s="760">
        <v>1806.3492063492063</v>
      </c>
      <c r="AC111" s="761">
        <v>113800</v>
      </c>
      <c r="AD111" s="759">
        <v>51</v>
      </c>
      <c r="AE111" s="760">
        <v>1786.2745098039215</v>
      </c>
      <c r="AF111" s="761">
        <v>91100</v>
      </c>
      <c r="AG111" s="759">
        <v>87</v>
      </c>
      <c r="AH111" s="760">
        <v>1824.1379310344828</v>
      </c>
      <c r="AI111" s="761">
        <v>158700</v>
      </c>
      <c r="AJ111" s="759">
        <v>74</v>
      </c>
      <c r="AK111" s="760">
        <v>1794.5945945945946</v>
      </c>
      <c r="AL111" s="761">
        <v>132800</v>
      </c>
      <c r="AM111" s="759">
        <v>61</v>
      </c>
      <c r="AN111" s="760">
        <v>1660.655737704918</v>
      </c>
      <c r="AO111" s="761">
        <v>101300</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0.35</v>
      </c>
      <c r="D115" s="770">
        <v>586.60436137071656</v>
      </c>
      <c r="E115" s="758">
        <v>188300</v>
      </c>
      <c r="F115" s="769">
        <v>0.40340241261985771</v>
      </c>
      <c r="G115" s="770">
        <v>683.54297693920341</v>
      </c>
      <c r="H115" s="771">
        <v>12303.773584905661</v>
      </c>
      <c r="I115" s="769">
        <v>0.36247769373782024</v>
      </c>
      <c r="J115" s="770">
        <v>594.79294290615042</v>
      </c>
      <c r="K115" s="771">
        <v>13085.44474393531</v>
      </c>
      <c r="L115" s="769">
        <v>0.35489207988363514</v>
      </c>
      <c r="M115" s="770">
        <v>630.74001470227881</v>
      </c>
      <c r="N115" s="771">
        <v>13876.280323450133</v>
      </c>
      <c r="O115" s="769">
        <v>0.34756198822191847</v>
      </c>
      <c r="P115" s="770">
        <v>586.68463611859841</v>
      </c>
      <c r="Q115" s="771">
        <v>14667.115902964959</v>
      </c>
      <c r="R115" s="769">
        <v>0.34107937332696203</v>
      </c>
      <c r="S115" s="770">
        <v>566.19175972275696</v>
      </c>
      <c r="T115" s="771">
        <v>19816.711590296494</v>
      </c>
      <c r="U115" s="769">
        <v>0.33198316959529456</v>
      </c>
      <c r="V115" s="770">
        <v>552.29927305398996</v>
      </c>
      <c r="W115" s="771">
        <v>18225.876010781671</v>
      </c>
      <c r="X115" s="769">
        <v>0.33761064608016272</v>
      </c>
      <c r="Y115" s="770">
        <v>573.93809833627665</v>
      </c>
      <c r="Z115" s="771">
        <v>16644.204851752023</v>
      </c>
      <c r="AA115" s="769">
        <v>0.36381958010831128</v>
      </c>
      <c r="AB115" s="770">
        <v>610.09744972009116</v>
      </c>
      <c r="AC115" s="771">
        <v>15862.533692722371</v>
      </c>
      <c r="AD115" s="769">
        <v>0.3657068286506599</v>
      </c>
      <c r="AE115" s="770">
        <v>604.28699781799514</v>
      </c>
      <c r="AF115" s="771">
        <v>12690.026954177898</v>
      </c>
      <c r="AG115" s="769">
        <v>0.33838336896241905</v>
      </c>
      <c r="AH115" s="770">
        <v>556.96073431922491</v>
      </c>
      <c r="AI115" s="771">
        <v>20607.547169811322</v>
      </c>
      <c r="AJ115" s="769">
        <v>0.33608723158795728</v>
      </c>
      <c r="AK115" s="770">
        <v>567.98742138364787</v>
      </c>
      <c r="AL115" s="771">
        <v>17039.622641509435</v>
      </c>
      <c r="AM115" s="769">
        <v>0.35569558136392404</v>
      </c>
      <c r="AN115" s="770">
        <v>586.1244579866401</v>
      </c>
      <c r="AO115" s="771">
        <v>13480.862533692722</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658.78504672897191</v>
      </c>
      <c r="E116" s="774">
        <v>211470</v>
      </c>
      <c r="F116" s="772">
        <v>0.3</v>
      </c>
      <c r="G116" s="773">
        <v>665</v>
      </c>
      <c r="H116" s="775">
        <v>11970</v>
      </c>
      <c r="I116" s="772">
        <v>0.3</v>
      </c>
      <c r="J116" s="773">
        <v>647.72727272727275</v>
      </c>
      <c r="K116" s="775">
        <v>14250</v>
      </c>
      <c r="L116" s="772">
        <v>0.3</v>
      </c>
      <c r="M116" s="773">
        <v>699.5454545454545</v>
      </c>
      <c r="N116" s="775">
        <v>15390</v>
      </c>
      <c r="O116" s="772">
        <v>0.3</v>
      </c>
      <c r="P116" s="773">
        <v>661.2</v>
      </c>
      <c r="Q116" s="775">
        <v>16530</v>
      </c>
      <c r="R116" s="772">
        <v>0.3</v>
      </c>
      <c r="S116" s="773">
        <v>651.42857142857144</v>
      </c>
      <c r="T116" s="775">
        <v>22800</v>
      </c>
      <c r="U116" s="772">
        <v>0.3</v>
      </c>
      <c r="V116" s="773">
        <v>656.36363636363637</v>
      </c>
      <c r="W116" s="775">
        <v>21660</v>
      </c>
      <c r="X116" s="772">
        <v>0.3</v>
      </c>
      <c r="Y116" s="773">
        <v>668.27586206896547</v>
      </c>
      <c r="Z116" s="775">
        <v>19380</v>
      </c>
      <c r="AA116" s="772">
        <v>0.3</v>
      </c>
      <c r="AB116" s="773">
        <v>657.69230769230774</v>
      </c>
      <c r="AC116" s="775">
        <v>17100</v>
      </c>
      <c r="AD116" s="772">
        <v>0.3</v>
      </c>
      <c r="AE116" s="773">
        <v>651.42857142857144</v>
      </c>
      <c r="AF116" s="775">
        <v>13680</v>
      </c>
      <c r="AG116" s="772">
        <v>0.3</v>
      </c>
      <c r="AH116" s="773">
        <v>647.02702702702697</v>
      </c>
      <c r="AI116" s="775">
        <v>23940</v>
      </c>
      <c r="AJ116" s="772">
        <v>0.3</v>
      </c>
      <c r="AK116" s="773">
        <v>665</v>
      </c>
      <c r="AL116" s="775">
        <v>19950</v>
      </c>
      <c r="AM116" s="772">
        <v>0.3</v>
      </c>
      <c r="AN116" s="773">
        <v>644.3478260869565</v>
      </c>
      <c r="AO116" s="775">
        <v>14820</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9.2461059190031154</v>
      </c>
      <c r="E117" s="758">
        <v>2968</v>
      </c>
      <c r="F117" s="747"/>
      <c r="G117" s="770">
        <v>9.3333333333333339</v>
      </c>
      <c r="H117" s="771">
        <v>168</v>
      </c>
      <c r="I117" s="747"/>
      <c r="J117" s="770">
        <v>9.0909090909090917</v>
      </c>
      <c r="K117" s="771">
        <v>200</v>
      </c>
      <c r="L117" s="747"/>
      <c r="M117" s="770">
        <v>9.8181818181818183</v>
      </c>
      <c r="N117" s="771">
        <v>216</v>
      </c>
      <c r="O117" s="747"/>
      <c r="P117" s="770">
        <v>9.2799999999999994</v>
      </c>
      <c r="Q117" s="771">
        <v>232</v>
      </c>
      <c r="R117" s="747"/>
      <c r="S117" s="770">
        <v>9.1428571428571423</v>
      </c>
      <c r="T117" s="771">
        <v>320</v>
      </c>
      <c r="U117" s="747"/>
      <c r="V117" s="770">
        <v>9.2121212121212128</v>
      </c>
      <c r="W117" s="771">
        <v>304</v>
      </c>
      <c r="X117" s="747"/>
      <c r="Y117" s="770">
        <v>9.3793103448275854</v>
      </c>
      <c r="Z117" s="771">
        <v>272</v>
      </c>
      <c r="AA117" s="747"/>
      <c r="AB117" s="770">
        <v>9.2307692307692299</v>
      </c>
      <c r="AC117" s="771">
        <v>240</v>
      </c>
      <c r="AD117" s="747"/>
      <c r="AE117" s="770">
        <v>9.1428571428571423</v>
      </c>
      <c r="AF117" s="771">
        <v>192</v>
      </c>
      <c r="AG117" s="747"/>
      <c r="AH117" s="770">
        <v>9.0810810810810807</v>
      </c>
      <c r="AI117" s="771">
        <v>336</v>
      </c>
      <c r="AJ117" s="747"/>
      <c r="AK117" s="770">
        <v>9.3333333333333339</v>
      </c>
      <c r="AL117" s="771">
        <v>280</v>
      </c>
      <c r="AM117" s="747"/>
      <c r="AN117" s="770">
        <v>9.0434782608695645</v>
      </c>
      <c r="AO117" s="771">
        <v>208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52.009345794392523</v>
      </c>
      <c r="E118" s="758">
        <v>16695</v>
      </c>
      <c r="F118" s="747"/>
      <c r="G118" s="770">
        <v>52.5</v>
      </c>
      <c r="H118" s="771">
        <v>945</v>
      </c>
      <c r="I118" s="747"/>
      <c r="J118" s="770">
        <v>51.136363636363633</v>
      </c>
      <c r="K118" s="771">
        <v>1125</v>
      </c>
      <c r="L118" s="747"/>
      <c r="M118" s="770">
        <v>55.227272727272727</v>
      </c>
      <c r="N118" s="771">
        <v>1215</v>
      </c>
      <c r="O118" s="747"/>
      <c r="P118" s="770">
        <v>52.2</v>
      </c>
      <c r="Q118" s="771">
        <v>1305</v>
      </c>
      <c r="R118" s="747"/>
      <c r="S118" s="770">
        <v>51.428571428571431</v>
      </c>
      <c r="T118" s="771">
        <v>1800</v>
      </c>
      <c r="U118" s="747"/>
      <c r="V118" s="770">
        <v>51.81818181818182</v>
      </c>
      <c r="W118" s="771">
        <v>1710</v>
      </c>
      <c r="X118" s="747"/>
      <c r="Y118" s="770">
        <v>52.758620689655174</v>
      </c>
      <c r="Z118" s="771">
        <v>1530</v>
      </c>
      <c r="AA118" s="747"/>
      <c r="AB118" s="770">
        <v>51.92307692307692</v>
      </c>
      <c r="AC118" s="771">
        <v>1350</v>
      </c>
      <c r="AD118" s="747"/>
      <c r="AE118" s="770">
        <v>51.428571428571431</v>
      </c>
      <c r="AF118" s="771">
        <v>1080</v>
      </c>
      <c r="AG118" s="747"/>
      <c r="AH118" s="770">
        <v>51.081081081081081</v>
      </c>
      <c r="AI118" s="771">
        <v>1890</v>
      </c>
      <c r="AJ118" s="747"/>
      <c r="AK118" s="770">
        <v>52.5</v>
      </c>
      <c r="AL118" s="771">
        <v>1575</v>
      </c>
      <c r="AM118" s="747"/>
      <c r="AN118" s="770">
        <v>50.869565217391305</v>
      </c>
      <c r="AO118" s="771">
        <v>1170</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184.9221183800623</v>
      </c>
      <c r="E119" s="774">
        <v>59360</v>
      </c>
      <c r="F119" s="776"/>
      <c r="G119" s="773">
        <v>186.66666666666666</v>
      </c>
      <c r="H119" s="775">
        <v>3360</v>
      </c>
      <c r="I119" s="776"/>
      <c r="J119" s="773">
        <v>181.81818181818181</v>
      </c>
      <c r="K119" s="775">
        <v>4000</v>
      </c>
      <c r="L119" s="776"/>
      <c r="M119" s="773">
        <v>196.36363636363637</v>
      </c>
      <c r="N119" s="775">
        <v>4320</v>
      </c>
      <c r="O119" s="776"/>
      <c r="P119" s="773">
        <v>185.6</v>
      </c>
      <c r="Q119" s="775">
        <v>4640</v>
      </c>
      <c r="R119" s="776"/>
      <c r="S119" s="773">
        <v>182.85714285714286</v>
      </c>
      <c r="T119" s="775">
        <v>6400</v>
      </c>
      <c r="U119" s="776"/>
      <c r="V119" s="773">
        <v>184.24242424242425</v>
      </c>
      <c r="W119" s="775">
        <v>6080</v>
      </c>
      <c r="X119" s="776"/>
      <c r="Y119" s="773">
        <v>187.58620689655172</v>
      </c>
      <c r="Z119" s="775">
        <v>5440</v>
      </c>
      <c r="AA119" s="776"/>
      <c r="AB119" s="773">
        <v>184.61538461538461</v>
      </c>
      <c r="AC119" s="775">
        <v>4800</v>
      </c>
      <c r="AD119" s="776"/>
      <c r="AE119" s="773">
        <v>182.85714285714286</v>
      </c>
      <c r="AF119" s="775">
        <v>3840</v>
      </c>
      <c r="AG119" s="776"/>
      <c r="AH119" s="773">
        <v>181.62162162162161</v>
      </c>
      <c r="AI119" s="775">
        <v>6720</v>
      </c>
      <c r="AJ119" s="776"/>
      <c r="AK119" s="773">
        <v>186.66666666666666</v>
      </c>
      <c r="AL119" s="775">
        <v>5600</v>
      </c>
      <c r="AM119" s="776"/>
      <c r="AN119" s="773">
        <v>180.86956521739131</v>
      </c>
      <c r="AO119" s="775">
        <v>4160</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455.71339563862927</v>
      </c>
      <c r="E120" s="758">
        <v>146284</v>
      </c>
      <c r="F120" s="747"/>
      <c r="G120" s="770">
        <v>732.33333333333337</v>
      </c>
      <c r="H120" s="771">
        <v>13182</v>
      </c>
      <c r="I120" s="747"/>
      <c r="J120" s="770">
        <v>581</v>
      </c>
      <c r="K120" s="771">
        <v>12782</v>
      </c>
      <c r="L120" s="747"/>
      <c r="M120" s="770">
        <v>571.90909090909088</v>
      </c>
      <c r="N120" s="771">
        <v>12582</v>
      </c>
      <c r="O120" s="747"/>
      <c r="P120" s="770">
        <v>495.28</v>
      </c>
      <c r="Q120" s="771">
        <v>12382</v>
      </c>
      <c r="R120" s="747"/>
      <c r="S120" s="770">
        <v>322.34285714285716</v>
      </c>
      <c r="T120" s="771">
        <v>11282</v>
      </c>
      <c r="U120" s="747"/>
      <c r="V120" s="770">
        <v>347.93939393939394</v>
      </c>
      <c r="W120" s="771">
        <v>11482</v>
      </c>
      <c r="X120" s="747"/>
      <c r="Y120" s="770">
        <v>409.72413793103448</v>
      </c>
      <c r="Z120" s="771">
        <v>11882</v>
      </c>
      <c r="AA120" s="747"/>
      <c r="AB120" s="770">
        <v>472.38461538461536</v>
      </c>
      <c r="AC120" s="771">
        <v>12282</v>
      </c>
      <c r="AD120" s="747"/>
      <c r="AE120" s="770">
        <v>613.42857142857144</v>
      </c>
      <c r="AF120" s="771">
        <v>12882</v>
      </c>
      <c r="AG120" s="747"/>
      <c r="AH120" s="770">
        <v>299.51351351351349</v>
      </c>
      <c r="AI120" s="771">
        <v>11082</v>
      </c>
      <c r="AJ120" s="747"/>
      <c r="AK120" s="770">
        <v>392.73333333333335</v>
      </c>
      <c r="AL120" s="771">
        <v>11782</v>
      </c>
      <c r="AM120" s="747"/>
      <c r="AN120" s="770">
        <v>551.39130434782612</v>
      </c>
      <c r="AO120" s="771">
        <v>12682</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275.48598130841128</v>
      </c>
      <c r="E121" s="758">
        <v>88431.000000000015</v>
      </c>
      <c r="F121" s="747"/>
      <c r="G121" s="770">
        <v>370.35569203596663</v>
      </c>
      <c r="H121" s="771">
        <v>6666.402456647399</v>
      </c>
      <c r="I121" s="747"/>
      <c r="J121" s="770">
        <v>308.82695086705206</v>
      </c>
      <c r="K121" s="771">
        <v>6794.1929190751453</v>
      </c>
      <c r="L121" s="747"/>
      <c r="M121" s="770">
        <v>320.4442656332107</v>
      </c>
      <c r="N121" s="771">
        <v>7049.7738439306358</v>
      </c>
      <c r="O121" s="747"/>
      <c r="P121" s="770">
        <v>343.33037572254329</v>
      </c>
      <c r="Q121" s="771">
        <v>8583.259393063583</v>
      </c>
      <c r="R121" s="747"/>
      <c r="S121" s="770">
        <v>230.63135838150288</v>
      </c>
      <c r="T121" s="771">
        <v>8072.097543352601</v>
      </c>
      <c r="U121" s="747"/>
      <c r="V121" s="770">
        <v>234.92792082676476</v>
      </c>
      <c r="W121" s="771">
        <v>7752.6213872832368</v>
      </c>
      <c r="X121" s="747"/>
      <c r="Y121" s="770">
        <v>249.70550129559496</v>
      </c>
      <c r="Z121" s="771">
        <v>7241.4595375722538</v>
      </c>
      <c r="AA121" s="747"/>
      <c r="AB121" s="770">
        <v>249.02756780791464</v>
      </c>
      <c r="AC121" s="771">
        <v>6474.7167630057802</v>
      </c>
      <c r="AD121" s="747"/>
      <c r="AE121" s="770">
        <v>417.85452793834293</v>
      </c>
      <c r="AF121" s="771">
        <v>8774.9450867052019</v>
      </c>
      <c r="AG121" s="747"/>
      <c r="AH121" s="770">
        <v>214.71100218715827</v>
      </c>
      <c r="AI121" s="771">
        <v>7944.3070809248557</v>
      </c>
      <c r="AJ121" s="747"/>
      <c r="AK121" s="770">
        <v>237.12230250481696</v>
      </c>
      <c r="AL121" s="771">
        <v>7113.6690751445085</v>
      </c>
      <c r="AM121" s="747"/>
      <c r="AN121" s="770">
        <v>259.28499623020861</v>
      </c>
      <c r="AO121" s="771">
        <v>5963.5549132947981</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0.50729328119445427</v>
      </c>
      <c r="E125" s="779">
        <v>713508</v>
      </c>
      <c r="F125" s="777" t="s">
        <v>119</v>
      </c>
      <c r="G125" s="778">
        <v>0.61357545507011435</v>
      </c>
      <c r="H125" s="779">
        <v>48595.176041553059</v>
      </c>
      <c r="I125" s="777" t="s">
        <v>119</v>
      </c>
      <c r="J125" s="778">
        <v>0.54870417713246278</v>
      </c>
      <c r="K125" s="779">
        <v>52236.637663010457</v>
      </c>
      <c r="L125" s="777" t="s">
        <v>119</v>
      </c>
      <c r="M125" s="778">
        <v>0.53577504085667416</v>
      </c>
      <c r="N125" s="779">
        <v>54649.054167380767</v>
      </c>
      <c r="O125" s="777" t="s">
        <v>119</v>
      </c>
      <c r="P125" s="778">
        <v>0.53180834362833673</v>
      </c>
      <c r="Q125" s="779">
        <v>58339.375296028542</v>
      </c>
      <c r="R125" s="777" t="s">
        <v>119</v>
      </c>
      <c r="S125" s="778">
        <v>0.46467243990539941</v>
      </c>
      <c r="T125" s="779">
        <v>70490.809133649091</v>
      </c>
      <c r="U125" s="777" t="s">
        <v>119</v>
      </c>
      <c r="V125" s="778">
        <v>0.47234362191191082</v>
      </c>
      <c r="W125" s="779">
        <v>67214.497398064908</v>
      </c>
      <c r="X125" s="777" t="s">
        <v>119</v>
      </c>
      <c r="Y125" s="778">
        <v>0.48476817707322672</v>
      </c>
      <c r="Z125" s="779">
        <v>62389.66438932428</v>
      </c>
      <c r="AA125" s="777" t="s">
        <v>119</v>
      </c>
      <c r="AB125" s="778">
        <v>0.51062610242291873</v>
      </c>
      <c r="AC125" s="779">
        <v>58109.25045572815</v>
      </c>
      <c r="AD125" s="777" t="s">
        <v>119</v>
      </c>
      <c r="AE125" s="778">
        <v>0.58330375456512729</v>
      </c>
      <c r="AF125" s="779">
        <v>53138.972040883098</v>
      </c>
      <c r="AG125" s="777" t="s">
        <v>119</v>
      </c>
      <c r="AH125" s="778">
        <v>0.45696190454150087</v>
      </c>
      <c r="AI125" s="779">
        <v>72519.854250736185</v>
      </c>
      <c r="AJ125" s="777" t="s">
        <v>119</v>
      </c>
      <c r="AK125" s="778">
        <v>0.47696002798685194</v>
      </c>
      <c r="AL125" s="779">
        <v>63340.291716653941</v>
      </c>
      <c r="AM125" s="777" t="s">
        <v>119</v>
      </c>
      <c r="AN125" s="778">
        <v>0.51810876058230526</v>
      </c>
      <c r="AO125" s="779">
        <v>52484.417446987522</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115460.90000000002</v>
      </c>
      <c r="F126" s="747"/>
      <c r="G126" s="757"/>
      <c r="H126" s="771">
        <v>10460.983974358975</v>
      </c>
      <c r="I126" s="747"/>
      <c r="J126" s="757"/>
      <c r="K126" s="771">
        <v>9202.1205128205147</v>
      </c>
      <c r="L126" s="747"/>
      <c r="M126" s="757"/>
      <c r="N126" s="771">
        <v>9202.1205128205147</v>
      </c>
      <c r="O126" s="747"/>
      <c r="P126" s="757"/>
      <c r="Q126" s="771">
        <v>9202.1205128205147</v>
      </c>
      <c r="R126" s="747"/>
      <c r="S126" s="757"/>
      <c r="T126" s="771">
        <v>10460.983974358975</v>
      </c>
      <c r="U126" s="747"/>
      <c r="V126" s="757"/>
      <c r="W126" s="771">
        <v>9202.1205128205147</v>
      </c>
      <c r="X126" s="747"/>
      <c r="Y126" s="757"/>
      <c r="Z126" s="771">
        <v>9202.1205128205147</v>
      </c>
      <c r="AA126" s="747"/>
      <c r="AB126" s="757"/>
      <c r="AC126" s="771">
        <v>10460.983974358975</v>
      </c>
      <c r="AD126" s="747"/>
      <c r="AE126" s="757"/>
      <c r="AF126" s="771">
        <v>9202.1205128205147</v>
      </c>
      <c r="AG126" s="747"/>
      <c r="AH126" s="757"/>
      <c r="AI126" s="771">
        <v>10460.983974358975</v>
      </c>
      <c r="AJ126" s="747"/>
      <c r="AK126" s="757"/>
      <c r="AL126" s="771">
        <v>9202.1205128205147</v>
      </c>
      <c r="AM126" s="747"/>
      <c r="AN126" s="757"/>
      <c r="AO126" s="771">
        <v>9202.1205128205147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110210.56</v>
      </c>
      <c r="F127" s="747"/>
      <c r="G127" s="757"/>
      <c r="H127" s="771">
        <v>10493.323076923078</v>
      </c>
      <c r="I127" s="747"/>
      <c r="J127" s="757"/>
      <c r="K127" s="771">
        <v>8529.65846153846</v>
      </c>
      <c r="L127" s="747"/>
      <c r="M127" s="757"/>
      <c r="N127" s="771">
        <v>8529.65846153846</v>
      </c>
      <c r="O127" s="747"/>
      <c r="P127" s="757"/>
      <c r="Q127" s="771">
        <v>8529.65846153846</v>
      </c>
      <c r="R127" s="747"/>
      <c r="S127" s="757"/>
      <c r="T127" s="771">
        <v>10493.323076923078</v>
      </c>
      <c r="U127" s="747"/>
      <c r="V127" s="757"/>
      <c r="W127" s="771">
        <v>8529.65846153846</v>
      </c>
      <c r="X127" s="747"/>
      <c r="Y127" s="757"/>
      <c r="Z127" s="771">
        <v>8529.65846153846</v>
      </c>
      <c r="AA127" s="747"/>
      <c r="AB127" s="757"/>
      <c r="AC127" s="771">
        <v>10493.323076923078</v>
      </c>
      <c r="AD127" s="747"/>
      <c r="AE127" s="757"/>
      <c r="AF127" s="771">
        <v>8529.65846153846</v>
      </c>
      <c r="AG127" s="747"/>
      <c r="AH127" s="757"/>
      <c r="AI127" s="771">
        <v>10493.323076923078</v>
      </c>
      <c r="AJ127" s="747"/>
      <c r="AK127" s="757"/>
      <c r="AL127" s="771">
        <v>8529.65846153846</v>
      </c>
      <c r="AM127" s="747"/>
      <c r="AN127" s="757"/>
      <c r="AO127" s="771">
        <v>8529.65846153846</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43483.600000000006</v>
      </c>
      <c r="F128" s="780"/>
      <c r="G128" s="781"/>
      <c r="H128" s="783">
        <v>4181.1153846153848</v>
      </c>
      <c r="I128" s="780"/>
      <c r="J128" s="781"/>
      <c r="K128" s="783">
        <v>3344.8923076923074</v>
      </c>
      <c r="L128" s="780"/>
      <c r="M128" s="781"/>
      <c r="N128" s="783">
        <v>3344.8923076923074</v>
      </c>
      <c r="O128" s="780"/>
      <c r="P128" s="781"/>
      <c r="Q128" s="783">
        <v>3344.8923076923074</v>
      </c>
      <c r="R128" s="780"/>
      <c r="S128" s="781"/>
      <c r="T128" s="783">
        <v>4181.1153846153848</v>
      </c>
      <c r="U128" s="780"/>
      <c r="V128" s="781"/>
      <c r="W128" s="783">
        <v>3344.8923076923074</v>
      </c>
      <c r="X128" s="780"/>
      <c r="Y128" s="781"/>
      <c r="Z128" s="783">
        <v>3344.8923076923074</v>
      </c>
      <c r="AA128" s="780"/>
      <c r="AB128" s="781"/>
      <c r="AC128" s="783">
        <v>4181.1153846153848</v>
      </c>
      <c r="AD128" s="780"/>
      <c r="AE128" s="781"/>
      <c r="AF128" s="783">
        <v>3344.8923076923074</v>
      </c>
      <c r="AG128" s="780"/>
      <c r="AH128" s="781"/>
      <c r="AI128" s="783">
        <v>4181.1153846153848</v>
      </c>
      <c r="AJ128" s="780"/>
      <c r="AK128" s="781"/>
      <c r="AL128" s="783">
        <v>3344.8923076923074</v>
      </c>
      <c r="AM128" s="780"/>
      <c r="AN128" s="781"/>
      <c r="AO128" s="783">
        <v>3344.8923076923074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97035.129310000004</v>
      </c>
      <c r="F133" s="747"/>
      <c r="G133" s="757"/>
      <c r="H133" s="771">
        <v>7688.5772349358976</v>
      </c>
      <c r="I133" s="747"/>
      <c r="J133" s="757"/>
      <c r="K133" s="771">
        <v>7179.3004212820515</v>
      </c>
      <c r="L133" s="747"/>
      <c r="M133" s="757"/>
      <c r="N133" s="771">
        <v>7818.0216712820511</v>
      </c>
      <c r="O133" s="747"/>
      <c r="P133" s="757"/>
      <c r="Q133" s="771">
        <v>9509.0581712820513</v>
      </c>
      <c r="R133" s="747"/>
      <c r="S133" s="757"/>
      <c r="T133" s="771">
        <v>9745.1404849358969</v>
      </c>
      <c r="U133" s="747"/>
      <c r="V133" s="757"/>
      <c r="W133" s="771">
        <v>8046.9511712820504</v>
      </c>
      <c r="X133" s="747"/>
      <c r="Y133" s="757"/>
      <c r="Z133" s="771">
        <v>7574.3371712820526</v>
      </c>
      <c r="AA133" s="747"/>
      <c r="AB133" s="757"/>
      <c r="AC133" s="771">
        <v>8541.4729849358973</v>
      </c>
      <c r="AD133" s="747"/>
      <c r="AE133" s="757"/>
      <c r="AF133" s="771">
        <v>7803.266671282051</v>
      </c>
      <c r="AG133" s="747"/>
      <c r="AH133" s="757"/>
      <c r="AI133" s="771">
        <v>8663.315234935897</v>
      </c>
      <c r="AJ133" s="747"/>
      <c r="AK133" s="757"/>
      <c r="AL133" s="771">
        <v>7925.1089212820507</v>
      </c>
      <c r="AM133" s="747"/>
      <c r="AN133" s="757"/>
      <c r="AO133" s="771">
        <v>6540.5791712820519</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117981.03827999999</v>
      </c>
      <c r="F134" s="780"/>
      <c r="G134" s="781"/>
      <c r="H134" s="783">
        <v>9348.2260653846151</v>
      </c>
      <c r="I134" s="780"/>
      <c r="J134" s="781"/>
      <c r="K134" s="783">
        <v>8729.0172523076926</v>
      </c>
      <c r="L134" s="780"/>
      <c r="M134" s="781"/>
      <c r="N134" s="783">
        <v>9505.612252307692</v>
      </c>
      <c r="O134" s="780"/>
      <c r="P134" s="781"/>
      <c r="Q134" s="783">
        <v>11561.674252307692</v>
      </c>
      <c r="R134" s="780"/>
      <c r="S134" s="781"/>
      <c r="T134" s="783">
        <v>11848.717065384617</v>
      </c>
      <c r="U134" s="780"/>
      <c r="V134" s="781"/>
      <c r="W134" s="783">
        <v>9783.9582523076915</v>
      </c>
      <c r="X134" s="780"/>
      <c r="Y134" s="781"/>
      <c r="Z134" s="783">
        <v>9209.3262523076937</v>
      </c>
      <c r="AA134" s="780"/>
      <c r="AB134" s="781"/>
      <c r="AC134" s="783">
        <v>10385.227065384615</v>
      </c>
      <c r="AD134" s="780"/>
      <c r="AE134" s="781"/>
      <c r="AF134" s="783">
        <v>9487.6722523076915</v>
      </c>
      <c r="AG134" s="780"/>
      <c r="AH134" s="781"/>
      <c r="AI134" s="783">
        <v>10533.370065384615</v>
      </c>
      <c r="AJ134" s="780"/>
      <c r="AK134" s="781"/>
      <c r="AL134" s="783">
        <v>9635.8152523076915</v>
      </c>
      <c r="AM134" s="780"/>
      <c r="AN134" s="781"/>
      <c r="AO134" s="783">
        <v>7952.4222523076933</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60785.882766000002</v>
      </c>
      <c r="F135" s="747"/>
      <c r="G135" s="757"/>
      <c r="H135" s="771">
        <v>4816.3686467307689</v>
      </c>
      <c r="I135" s="747"/>
      <c r="J135" s="757"/>
      <c r="K135" s="771">
        <v>4497.3414973846156</v>
      </c>
      <c r="L135" s="747"/>
      <c r="M135" s="757"/>
      <c r="N135" s="771">
        <v>4897.4567473846146</v>
      </c>
      <c r="O135" s="747"/>
      <c r="P135" s="757"/>
      <c r="Q135" s="771">
        <v>5956.7756473846148</v>
      </c>
      <c r="R135" s="747"/>
      <c r="S135" s="757"/>
      <c r="T135" s="771">
        <v>6104.6650967307687</v>
      </c>
      <c r="U135" s="747"/>
      <c r="V135" s="757"/>
      <c r="W135" s="771">
        <v>5040.8654473846145</v>
      </c>
      <c r="X135" s="747"/>
      <c r="Y135" s="757"/>
      <c r="Z135" s="771">
        <v>4744.805047384616</v>
      </c>
      <c r="AA135" s="747"/>
      <c r="AB135" s="757"/>
      <c r="AC135" s="771">
        <v>5350.6495967307692</v>
      </c>
      <c r="AD135" s="747"/>
      <c r="AE135" s="757"/>
      <c r="AF135" s="771">
        <v>4888.2137473846151</v>
      </c>
      <c r="AG135" s="747"/>
      <c r="AH135" s="757"/>
      <c r="AI135" s="771">
        <v>5426.9754467307685</v>
      </c>
      <c r="AJ135" s="747"/>
      <c r="AK135" s="757"/>
      <c r="AL135" s="771">
        <v>4964.5395973846144</v>
      </c>
      <c r="AM135" s="747"/>
      <c r="AN135" s="757"/>
      <c r="AO135" s="771">
        <v>4097.2262473846149</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26502.986859999994</v>
      </c>
      <c r="F136" s="747"/>
      <c r="G136" s="757"/>
      <c r="H136" s="771">
        <v>2099.9638262820513</v>
      </c>
      <c r="I136" s="747"/>
      <c r="J136" s="757"/>
      <c r="K136" s="771">
        <v>1960.8661943589743</v>
      </c>
      <c r="L136" s="747"/>
      <c r="M136" s="757"/>
      <c r="N136" s="771">
        <v>2135.318694358974</v>
      </c>
      <c r="O136" s="747"/>
      <c r="P136" s="757"/>
      <c r="Q136" s="771">
        <v>2597.1876943589741</v>
      </c>
      <c r="R136" s="747"/>
      <c r="S136" s="757"/>
      <c r="T136" s="771">
        <v>2661.6683262820511</v>
      </c>
      <c r="U136" s="747"/>
      <c r="V136" s="757"/>
      <c r="W136" s="771">
        <v>2197.845694358974</v>
      </c>
      <c r="X136" s="747"/>
      <c r="Y136" s="757"/>
      <c r="Z136" s="771">
        <v>2068.7616943589746</v>
      </c>
      <c r="AA136" s="747"/>
      <c r="AB136" s="757"/>
      <c r="AC136" s="771">
        <v>2332.913326282051</v>
      </c>
      <c r="AD136" s="747"/>
      <c r="AE136" s="757"/>
      <c r="AF136" s="771">
        <v>2131.2886943589742</v>
      </c>
      <c r="AG136" s="747"/>
      <c r="AH136" s="757"/>
      <c r="AI136" s="771">
        <v>2366.1918262820514</v>
      </c>
      <c r="AJ136" s="747"/>
      <c r="AK136" s="757"/>
      <c r="AL136" s="771">
        <v>2164.5671943589741</v>
      </c>
      <c r="AM136" s="747"/>
      <c r="AN136" s="757"/>
      <c r="AO136" s="771">
        <v>1786.4136943589745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0.40629939368361179</v>
      </c>
      <c r="E138" s="779">
        <v>571460.09721599997</v>
      </c>
      <c r="F138" s="777" t="s">
        <v>119</v>
      </c>
      <c r="G138" s="778">
        <v>0.61980502789432801</v>
      </c>
      <c r="H138" s="779">
        <v>49088.558209230774</v>
      </c>
      <c r="I138" s="777" t="s">
        <v>119</v>
      </c>
      <c r="J138" s="778">
        <v>0.45633609923723339</v>
      </c>
      <c r="K138" s="779">
        <v>43443.196647384619</v>
      </c>
      <c r="L138" s="777" t="s">
        <v>119</v>
      </c>
      <c r="M138" s="778">
        <v>0.44542235928808444</v>
      </c>
      <c r="N138" s="779">
        <v>45433.08064738461</v>
      </c>
      <c r="O138" s="777" t="s">
        <v>119</v>
      </c>
      <c r="P138" s="778">
        <v>0.4621820150171797</v>
      </c>
      <c r="Q138" s="779">
        <v>50701.367047384614</v>
      </c>
      <c r="R138" s="777" t="s">
        <v>119</v>
      </c>
      <c r="S138" s="778">
        <v>0.36582474231529843</v>
      </c>
      <c r="T138" s="779">
        <v>55495.613409230769</v>
      </c>
      <c r="U138" s="777" t="s">
        <v>119</v>
      </c>
      <c r="V138" s="778">
        <v>0.32428876913130439</v>
      </c>
      <c r="W138" s="779">
        <v>46146.291847384615</v>
      </c>
      <c r="X138" s="777" t="s">
        <v>119</v>
      </c>
      <c r="Y138" s="778">
        <v>0.34711656136273983</v>
      </c>
      <c r="Z138" s="779">
        <v>44673.901447384618</v>
      </c>
      <c r="AA138" s="777" t="s">
        <v>119</v>
      </c>
      <c r="AB138" s="778">
        <v>0.4547072531566852</v>
      </c>
      <c r="AC138" s="779">
        <v>51745.685409230777</v>
      </c>
      <c r="AD138" s="777" t="s">
        <v>119</v>
      </c>
      <c r="AE138" s="778">
        <v>0.49821199393396942</v>
      </c>
      <c r="AF138" s="779">
        <v>45387.112647384616</v>
      </c>
      <c r="AG138" s="777" t="s">
        <v>119</v>
      </c>
      <c r="AH138" s="778">
        <v>0.32845163836944402</v>
      </c>
      <c r="AI138" s="779">
        <v>52125.275009230769</v>
      </c>
      <c r="AJ138" s="777" t="s">
        <v>119</v>
      </c>
      <c r="AK138" s="778">
        <v>0.34462878198331792</v>
      </c>
      <c r="AL138" s="779">
        <v>45766.702247384623</v>
      </c>
      <c r="AM138" s="777" t="s">
        <v>119</v>
      </c>
      <c r="AN138" s="778">
        <v>0.40921335288632399</v>
      </c>
      <c r="AO138" s="779">
        <v>41453.312647384621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15409.839466666666</v>
      </c>
      <c r="F141" s="785"/>
      <c r="G141" s="786"/>
      <c r="H141" s="788">
        <v>1284.1532888888889</v>
      </c>
      <c r="I141" s="785"/>
      <c r="J141" s="786"/>
      <c r="K141" s="788">
        <v>1284.1532888888889</v>
      </c>
      <c r="L141" s="785"/>
      <c r="M141" s="786"/>
      <c r="N141" s="788">
        <v>1284.1532888888889</v>
      </c>
      <c r="O141" s="785"/>
      <c r="P141" s="786"/>
      <c r="Q141" s="788">
        <v>1284.1532888888889</v>
      </c>
      <c r="R141" s="785"/>
      <c r="S141" s="786"/>
      <c r="T141" s="788">
        <v>1284.1532888888889</v>
      </c>
      <c r="U141" s="785"/>
      <c r="V141" s="786"/>
      <c r="W141" s="788">
        <v>1284.1532888888889</v>
      </c>
      <c r="X141" s="785"/>
      <c r="Y141" s="786"/>
      <c r="Z141" s="788">
        <v>1284.1532888888889</v>
      </c>
      <c r="AA141" s="785"/>
      <c r="AB141" s="786"/>
      <c r="AC141" s="788">
        <v>1284.1532888888889</v>
      </c>
      <c r="AD141" s="785"/>
      <c r="AE141" s="786"/>
      <c r="AF141" s="788">
        <v>1284.1532888888889</v>
      </c>
      <c r="AG141" s="785"/>
      <c r="AH141" s="786"/>
      <c r="AI141" s="788">
        <v>1284.1532888888889</v>
      </c>
      <c r="AJ141" s="785"/>
      <c r="AK141" s="786"/>
      <c r="AL141" s="788">
        <v>1284.1532888888889</v>
      </c>
      <c r="AM141" s="785"/>
      <c r="AN141" s="786"/>
      <c r="AO141" s="788">
        <v>1284.1532888888889</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45092.227472319973</v>
      </c>
      <c r="F142" s="747"/>
      <c r="G142" s="757"/>
      <c r="H142" s="771">
        <v>3757.6856226933323</v>
      </c>
      <c r="I142" s="747"/>
      <c r="J142" s="757"/>
      <c r="K142" s="771">
        <v>3757.6856226933323</v>
      </c>
      <c r="L142" s="747"/>
      <c r="M142" s="757"/>
      <c r="N142" s="771">
        <v>3757.6856226933323</v>
      </c>
      <c r="O142" s="747"/>
      <c r="P142" s="757"/>
      <c r="Q142" s="771">
        <v>3757.6856226933323</v>
      </c>
      <c r="R142" s="747"/>
      <c r="S142" s="757"/>
      <c r="T142" s="771">
        <v>3757.6856226933323</v>
      </c>
      <c r="U142" s="747"/>
      <c r="V142" s="757"/>
      <c r="W142" s="771">
        <v>3757.6856226933323</v>
      </c>
      <c r="X142" s="747"/>
      <c r="Y142" s="757"/>
      <c r="Z142" s="771">
        <v>3757.6856226933323</v>
      </c>
      <c r="AA142" s="747"/>
      <c r="AB142" s="757"/>
      <c r="AC142" s="771">
        <v>3757.6856226933323</v>
      </c>
      <c r="AD142" s="747"/>
      <c r="AE142" s="757"/>
      <c r="AF142" s="771">
        <v>3757.6856226933323</v>
      </c>
      <c r="AG142" s="747"/>
      <c r="AH142" s="757"/>
      <c r="AI142" s="771">
        <v>3757.6856226933323</v>
      </c>
      <c r="AJ142" s="747"/>
      <c r="AK142" s="757"/>
      <c r="AL142" s="771">
        <v>3757.6856226933323</v>
      </c>
      <c r="AM142" s="747"/>
      <c r="AN142" s="757"/>
      <c r="AO142" s="771">
        <v>3757.6856226933323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6668.0429252885951</v>
      </c>
      <c r="F143" s="747"/>
      <c r="G143" s="757"/>
      <c r="H143" s="771">
        <v>555.6702437740496</v>
      </c>
      <c r="I143" s="747"/>
      <c r="J143" s="757"/>
      <c r="K143" s="771">
        <v>555.6702437740496</v>
      </c>
      <c r="L143" s="747"/>
      <c r="M143" s="757"/>
      <c r="N143" s="771">
        <v>555.6702437740496</v>
      </c>
      <c r="O143" s="747"/>
      <c r="P143" s="757"/>
      <c r="Q143" s="771">
        <v>555.6702437740496</v>
      </c>
      <c r="R143" s="747"/>
      <c r="S143" s="757"/>
      <c r="T143" s="771">
        <v>555.6702437740496</v>
      </c>
      <c r="U143" s="747"/>
      <c r="V143" s="757"/>
      <c r="W143" s="771">
        <v>555.6702437740496</v>
      </c>
      <c r="X143" s="747"/>
      <c r="Y143" s="757"/>
      <c r="Z143" s="771">
        <v>555.6702437740496</v>
      </c>
      <c r="AA143" s="747"/>
      <c r="AB143" s="757"/>
      <c r="AC143" s="771">
        <v>555.6702437740496</v>
      </c>
      <c r="AD143" s="747"/>
      <c r="AE143" s="757"/>
      <c r="AF143" s="771">
        <v>555.6702437740496</v>
      </c>
      <c r="AG143" s="747"/>
      <c r="AH143" s="757"/>
      <c r="AI143" s="771">
        <v>555.6702437740496</v>
      </c>
      <c r="AJ143" s="747"/>
      <c r="AK143" s="757"/>
      <c r="AL143" s="771">
        <v>555.6702437740496</v>
      </c>
      <c r="AM143" s="747"/>
      <c r="AN143" s="757"/>
      <c r="AO143" s="771">
        <v>555.6702437740496</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16786.193568643892</v>
      </c>
      <c r="F144" s="785"/>
      <c r="G144" s="786"/>
      <c r="H144" s="788">
        <v>1398.8494640536576</v>
      </c>
      <c r="I144" s="785"/>
      <c r="J144" s="786"/>
      <c r="K144" s="788">
        <v>1398.8494640536576</v>
      </c>
      <c r="L144" s="785"/>
      <c r="M144" s="786"/>
      <c r="N144" s="788">
        <v>1398.8494640536576</v>
      </c>
      <c r="O144" s="785"/>
      <c r="P144" s="786"/>
      <c r="Q144" s="788">
        <v>1398.8494640536576</v>
      </c>
      <c r="R144" s="785"/>
      <c r="S144" s="786"/>
      <c r="T144" s="788">
        <v>1398.8494640536576</v>
      </c>
      <c r="U144" s="785"/>
      <c r="V144" s="786"/>
      <c r="W144" s="788">
        <v>1398.8494640536576</v>
      </c>
      <c r="X144" s="785"/>
      <c r="Y144" s="786"/>
      <c r="Z144" s="788">
        <v>1398.8494640536576</v>
      </c>
      <c r="AA144" s="785"/>
      <c r="AB144" s="786"/>
      <c r="AC144" s="788">
        <v>1398.8494640536576</v>
      </c>
      <c r="AD144" s="785"/>
      <c r="AE144" s="786"/>
      <c r="AF144" s="788">
        <v>1398.8494640536576</v>
      </c>
      <c r="AG144" s="785"/>
      <c r="AH144" s="786"/>
      <c r="AI144" s="788">
        <v>1398.8494640536576</v>
      </c>
      <c r="AJ144" s="785"/>
      <c r="AK144" s="786"/>
      <c r="AL144" s="788">
        <v>1398.8494640536576</v>
      </c>
      <c r="AM144" s="785"/>
      <c r="AN144" s="786"/>
      <c r="AO144" s="788">
        <v>1398.8494640536576</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1006.6264</v>
      </c>
      <c r="F145" s="747"/>
      <c r="G145" s="757"/>
      <c r="H145" s="771">
        <v>83.885533333333328</v>
      </c>
      <c r="I145" s="747"/>
      <c r="J145" s="757"/>
      <c r="K145" s="771">
        <v>83.885533333333328</v>
      </c>
      <c r="L145" s="747"/>
      <c r="M145" s="757"/>
      <c r="N145" s="771">
        <v>83.885533333333328</v>
      </c>
      <c r="O145" s="747"/>
      <c r="P145" s="757"/>
      <c r="Q145" s="771">
        <v>83.885533333333328</v>
      </c>
      <c r="R145" s="747"/>
      <c r="S145" s="757"/>
      <c r="T145" s="771">
        <v>83.885533333333328</v>
      </c>
      <c r="U145" s="747"/>
      <c r="V145" s="757"/>
      <c r="W145" s="771">
        <v>83.885533333333328</v>
      </c>
      <c r="X145" s="747"/>
      <c r="Y145" s="757"/>
      <c r="Z145" s="771">
        <v>83.885533333333328</v>
      </c>
      <c r="AA145" s="747"/>
      <c r="AB145" s="757"/>
      <c r="AC145" s="771">
        <v>83.885533333333328</v>
      </c>
      <c r="AD145" s="747"/>
      <c r="AE145" s="757"/>
      <c r="AF145" s="771">
        <v>83.885533333333328</v>
      </c>
      <c r="AG145" s="747"/>
      <c r="AH145" s="757"/>
      <c r="AI145" s="771">
        <v>83.885533333333328</v>
      </c>
      <c r="AJ145" s="747"/>
      <c r="AK145" s="757"/>
      <c r="AL145" s="771">
        <v>83.885533333333328</v>
      </c>
      <c r="AM145" s="747"/>
      <c r="AN145" s="757"/>
      <c r="AO145" s="771">
        <v>83.885533333333328</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340</v>
      </c>
      <c r="F146" s="747"/>
      <c r="G146" s="757"/>
      <c r="H146" s="771">
        <v>28.333333333333332</v>
      </c>
      <c r="I146" s="747"/>
      <c r="J146" s="757"/>
      <c r="K146" s="771">
        <v>28.333333333333332</v>
      </c>
      <c r="L146" s="747"/>
      <c r="M146" s="757"/>
      <c r="N146" s="771">
        <v>28.333333333333332</v>
      </c>
      <c r="O146" s="747"/>
      <c r="P146" s="757"/>
      <c r="Q146" s="771">
        <v>28.333333333333332</v>
      </c>
      <c r="R146" s="747"/>
      <c r="S146" s="757"/>
      <c r="T146" s="771">
        <v>28.333333333333332</v>
      </c>
      <c r="U146" s="747"/>
      <c r="V146" s="757"/>
      <c r="W146" s="771">
        <v>28.333333333333332</v>
      </c>
      <c r="X146" s="747"/>
      <c r="Y146" s="757"/>
      <c r="Z146" s="771">
        <v>28.333333333333332</v>
      </c>
      <c r="AA146" s="747"/>
      <c r="AB146" s="757"/>
      <c r="AC146" s="771">
        <v>28.333333333333332</v>
      </c>
      <c r="AD146" s="747"/>
      <c r="AE146" s="757"/>
      <c r="AF146" s="771">
        <v>28.333333333333332</v>
      </c>
      <c r="AG146" s="747"/>
      <c r="AH146" s="757"/>
      <c r="AI146" s="771">
        <v>28.333333333333332</v>
      </c>
      <c r="AJ146" s="747"/>
      <c r="AK146" s="757"/>
      <c r="AL146" s="771">
        <v>28.333333333333332</v>
      </c>
      <c r="AM146" s="747"/>
      <c r="AN146" s="757"/>
      <c r="AO146" s="771">
        <v>28.333333333333332</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3883.4327685110397</v>
      </c>
      <c r="F147" s="747"/>
      <c r="G147" s="757"/>
      <c r="H147" s="771">
        <v>323.61939737591996</v>
      </c>
      <c r="I147" s="747"/>
      <c r="J147" s="757"/>
      <c r="K147" s="771">
        <v>323.61939737591996</v>
      </c>
      <c r="L147" s="747"/>
      <c r="M147" s="757"/>
      <c r="N147" s="771">
        <v>323.61939737591996</v>
      </c>
      <c r="O147" s="747"/>
      <c r="P147" s="757"/>
      <c r="Q147" s="771">
        <v>323.61939737591996</v>
      </c>
      <c r="R147" s="747"/>
      <c r="S147" s="757"/>
      <c r="T147" s="771">
        <v>323.61939737591996</v>
      </c>
      <c r="U147" s="747"/>
      <c r="V147" s="757"/>
      <c r="W147" s="771">
        <v>323.61939737591996</v>
      </c>
      <c r="X147" s="747"/>
      <c r="Y147" s="757"/>
      <c r="Z147" s="771">
        <v>323.61939737591996</v>
      </c>
      <c r="AA147" s="747"/>
      <c r="AB147" s="757"/>
      <c r="AC147" s="771">
        <v>323.61939737591996</v>
      </c>
      <c r="AD147" s="747"/>
      <c r="AE147" s="757"/>
      <c r="AF147" s="771">
        <v>323.61939737591996</v>
      </c>
      <c r="AG147" s="747"/>
      <c r="AH147" s="757"/>
      <c r="AI147" s="771">
        <v>323.61939737591996</v>
      </c>
      <c r="AJ147" s="747"/>
      <c r="AK147" s="757"/>
      <c r="AL147" s="771">
        <v>323.61939737591996</v>
      </c>
      <c r="AM147" s="747"/>
      <c r="AN147" s="757"/>
      <c r="AO147" s="771">
        <v>323.61939737591996</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753.17465813091997</v>
      </c>
      <c r="F148" s="747"/>
      <c r="G148" s="757"/>
      <c r="H148" s="771">
        <v>62.764554844243328</v>
      </c>
      <c r="I148" s="747"/>
      <c r="J148" s="757"/>
      <c r="K148" s="771">
        <v>62.764554844243328</v>
      </c>
      <c r="L148" s="747"/>
      <c r="M148" s="757"/>
      <c r="N148" s="771">
        <v>62.764554844243328</v>
      </c>
      <c r="O148" s="747"/>
      <c r="P148" s="757"/>
      <c r="Q148" s="771">
        <v>62.764554844243328</v>
      </c>
      <c r="R148" s="747"/>
      <c r="S148" s="757"/>
      <c r="T148" s="771">
        <v>62.764554844243328</v>
      </c>
      <c r="U148" s="747"/>
      <c r="V148" s="757"/>
      <c r="W148" s="771">
        <v>62.764554844243328</v>
      </c>
      <c r="X148" s="747"/>
      <c r="Y148" s="757"/>
      <c r="Z148" s="771">
        <v>62.764554844243328</v>
      </c>
      <c r="AA148" s="747"/>
      <c r="AB148" s="757"/>
      <c r="AC148" s="771">
        <v>62.764554844243328</v>
      </c>
      <c r="AD148" s="747"/>
      <c r="AE148" s="757"/>
      <c r="AF148" s="771">
        <v>62.764554844243328</v>
      </c>
      <c r="AG148" s="747"/>
      <c r="AH148" s="757"/>
      <c r="AI148" s="771">
        <v>62.764554844243328</v>
      </c>
      <c r="AJ148" s="747"/>
      <c r="AK148" s="757"/>
      <c r="AL148" s="771">
        <v>62.764554844243328</v>
      </c>
      <c r="AM148" s="747"/>
      <c r="AN148" s="757"/>
      <c r="AO148" s="771">
        <v>62.764554844243328</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578.60212965787991</v>
      </c>
      <c r="F149" s="747"/>
      <c r="G149" s="757"/>
      <c r="H149" s="771">
        <v>48.216844138156659</v>
      </c>
      <c r="I149" s="747"/>
      <c r="J149" s="757"/>
      <c r="K149" s="771">
        <v>48.216844138156659</v>
      </c>
      <c r="L149" s="747"/>
      <c r="M149" s="757"/>
      <c r="N149" s="771">
        <v>48.216844138156659</v>
      </c>
      <c r="O149" s="747"/>
      <c r="P149" s="757"/>
      <c r="Q149" s="771">
        <v>48.216844138156659</v>
      </c>
      <c r="R149" s="747"/>
      <c r="S149" s="757"/>
      <c r="T149" s="771">
        <v>48.216844138156659</v>
      </c>
      <c r="U149" s="747"/>
      <c r="V149" s="757"/>
      <c r="W149" s="771">
        <v>48.216844138156659</v>
      </c>
      <c r="X149" s="747"/>
      <c r="Y149" s="757"/>
      <c r="Z149" s="771">
        <v>48.216844138156659</v>
      </c>
      <c r="AA149" s="747"/>
      <c r="AB149" s="757"/>
      <c r="AC149" s="771">
        <v>48.216844138156659</v>
      </c>
      <c r="AD149" s="747"/>
      <c r="AE149" s="757"/>
      <c r="AF149" s="771">
        <v>48.216844138156659</v>
      </c>
      <c r="AG149" s="747"/>
      <c r="AH149" s="757"/>
      <c r="AI149" s="771">
        <v>48.216844138156659</v>
      </c>
      <c r="AJ149" s="747"/>
      <c r="AK149" s="757"/>
      <c r="AL149" s="771">
        <v>48.216844138156659</v>
      </c>
      <c r="AM149" s="747"/>
      <c r="AN149" s="757"/>
      <c r="AO149" s="771">
        <v>48.216844138156659</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1288.2194092557202</v>
      </c>
      <c r="F150" s="747"/>
      <c r="G150" s="757"/>
      <c r="H150" s="771">
        <v>107.35161743797669</v>
      </c>
      <c r="I150" s="747"/>
      <c r="J150" s="757"/>
      <c r="K150" s="771">
        <v>107.35161743797669</v>
      </c>
      <c r="L150" s="747"/>
      <c r="M150" s="757"/>
      <c r="N150" s="771">
        <v>107.35161743797669</v>
      </c>
      <c r="O150" s="747"/>
      <c r="P150" s="757"/>
      <c r="Q150" s="771">
        <v>107.35161743797669</v>
      </c>
      <c r="R150" s="747"/>
      <c r="S150" s="757"/>
      <c r="T150" s="771">
        <v>107.35161743797669</v>
      </c>
      <c r="U150" s="747"/>
      <c r="V150" s="757"/>
      <c r="W150" s="771">
        <v>107.35161743797669</v>
      </c>
      <c r="X150" s="747"/>
      <c r="Y150" s="757"/>
      <c r="Z150" s="771">
        <v>107.35161743797669</v>
      </c>
      <c r="AA150" s="747"/>
      <c r="AB150" s="757"/>
      <c r="AC150" s="771">
        <v>107.35161743797669</v>
      </c>
      <c r="AD150" s="747"/>
      <c r="AE150" s="757"/>
      <c r="AF150" s="771">
        <v>107.35161743797669</v>
      </c>
      <c r="AG150" s="747"/>
      <c r="AH150" s="757"/>
      <c r="AI150" s="771">
        <v>107.35161743797669</v>
      </c>
      <c r="AJ150" s="747"/>
      <c r="AK150" s="757"/>
      <c r="AL150" s="771">
        <v>107.35161743797669</v>
      </c>
      <c r="AM150" s="747"/>
      <c r="AN150" s="757"/>
      <c r="AO150" s="771">
        <v>107.35161743797669</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2621.5724603638187</v>
      </c>
      <c r="F151" s="747"/>
      <c r="G151" s="757"/>
      <c r="H151" s="771">
        <v>218.46437169698484</v>
      </c>
      <c r="I151" s="747"/>
      <c r="J151" s="757"/>
      <c r="K151" s="771">
        <v>218.46437169698484</v>
      </c>
      <c r="L151" s="747"/>
      <c r="M151" s="757"/>
      <c r="N151" s="771">
        <v>218.46437169698484</v>
      </c>
      <c r="O151" s="747"/>
      <c r="P151" s="757"/>
      <c r="Q151" s="771">
        <v>218.46437169698484</v>
      </c>
      <c r="R151" s="747"/>
      <c r="S151" s="757"/>
      <c r="T151" s="771">
        <v>218.46437169698484</v>
      </c>
      <c r="U151" s="747"/>
      <c r="V151" s="757"/>
      <c r="W151" s="771">
        <v>218.46437169698484</v>
      </c>
      <c r="X151" s="747"/>
      <c r="Y151" s="757"/>
      <c r="Z151" s="771">
        <v>218.46437169698484</v>
      </c>
      <c r="AA151" s="747"/>
      <c r="AB151" s="757"/>
      <c r="AC151" s="771">
        <v>218.46437169698484</v>
      </c>
      <c r="AD151" s="747"/>
      <c r="AE151" s="757"/>
      <c r="AF151" s="771">
        <v>218.46437169698484</v>
      </c>
      <c r="AG151" s="747"/>
      <c r="AH151" s="757"/>
      <c r="AI151" s="771">
        <v>218.46437169698484</v>
      </c>
      <c r="AJ151" s="747"/>
      <c r="AK151" s="757"/>
      <c r="AL151" s="771">
        <v>218.46437169698484</v>
      </c>
      <c r="AM151" s="747"/>
      <c r="AN151" s="757"/>
      <c r="AO151" s="771">
        <v>218.46437169698484</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9723.8520499178303</v>
      </c>
      <c r="F152" s="747"/>
      <c r="G152" s="757"/>
      <c r="H152" s="771">
        <v>634.44651430529916</v>
      </c>
      <c r="I152" s="747"/>
      <c r="J152" s="757"/>
      <c r="K152" s="771">
        <v>611.72291654129151</v>
      </c>
      <c r="L152" s="747"/>
      <c r="M152" s="757"/>
      <c r="N152" s="771">
        <v>647.20571478685497</v>
      </c>
      <c r="O152" s="747"/>
      <c r="P152" s="757"/>
      <c r="Q152" s="771">
        <v>848.05675343487826</v>
      </c>
      <c r="R152" s="747"/>
      <c r="S152" s="757"/>
      <c r="T152" s="771">
        <v>901.5771308274592</v>
      </c>
      <c r="U152" s="747"/>
      <c r="V152" s="757"/>
      <c r="W152" s="771">
        <v>839.8687185306751</v>
      </c>
      <c r="X152" s="747"/>
      <c r="Y152" s="757"/>
      <c r="Z152" s="771">
        <v>820.93352030523874</v>
      </c>
      <c r="AA152" s="747"/>
      <c r="AB152" s="757"/>
      <c r="AC152" s="771">
        <v>887.88079599087973</v>
      </c>
      <c r="AD152" s="747"/>
      <c r="AE152" s="757"/>
      <c r="AF152" s="771">
        <v>722.2072596354127</v>
      </c>
      <c r="AG152" s="747"/>
      <c r="AH152" s="757"/>
      <c r="AI152" s="771">
        <v>975.11430554061235</v>
      </c>
      <c r="AJ152" s="747"/>
      <c r="AK152" s="757"/>
      <c r="AL152" s="771">
        <v>1146.3671308542077</v>
      </c>
      <c r="AM152" s="747"/>
      <c r="AN152" s="757"/>
      <c r="AO152" s="771">
        <v>688.4712891650214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7.4050325850519974E-2</v>
      </c>
      <c r="E156" s="779">
        <v>104151.78330875633</v>
      </c>
      <c r="F156" s="777" t="s">
        <v>119</v>
      </c>
      <c r="G156" s="778">
        <v>0.10736667658933301</v>
      </c>
      <c r="H156" s="779">
        <v>8503.4407858751747</v>
      </c>
      <c r="I156" s="777" t="s">
        <v>119</v>
      </c>
      <c r="J156" s="778">
        <v>8.908316374066351E-2</v>
      </c>
      <c r="K156" s="779">
        <v>8480.7171881111663</v>
      </c>
      <c r="L156" s="777" t="s">
        <v>119</v>
      </c>
      <c r="M156" s="778">
        <v>8.3492156728987563E-2</v>
      </c>
      <c r="N156" s="779">
        <v>8516.1999863567307</v>
      </c>
      <c r="O156" s="777" t="s">
        <v>119</v>
      </c>
      <c r="P156" s="778">
        <v>7.946263468554926E-2</v>
      </c>
      <c r="Q156" s="779">
        <v>8717.0510250047537</v>
      </c>
      <c r="R156" s="777" t="s">
        <v>119</v>
      </c>
      <c r="S156" s="778">
        <v>5.7815236667088557E-2</v>
      </c>
      <c r="T156" s="779">
        <v>8770.5714023973342</v>
      </c>
      <c r="U156" s="777" t="s">
        <v>119</v>
      </c>
      <c r="V156" s="778">
        <v>6.120072375334188E-2</v>
      </c>
      <c r="W156" s="779">
        <v>8708.8629901005497</v>
      </c>
      <c r="X156" s="777" t="s">
        <v>119</v>
      </c>
      <c r="Y156" s="778">
        <v>6.75208064636761E-2</v>
      </c>
      <c r="Z156" s="779">
        <v>8689.9277918751141</v>
      </c>
      <c r="AA156" s="777" t="s">
        <v>119</v>
      </c>
      <c r="AB156" s="778">
        <v>7.6949693036562003E-2</v>
      </c>
      <c r="AC156" s="779">
        <v>8756.8750675607553</v>
      </c>
      <c r="AD156" s="777" t="s">
        <v>119</v>
      </c>
      <c r="AE156" s="778">
        <v>9.4305175973713365E-2</v>
      </c>
      <c r="AF156" s="779">
        <v>8591.2015312052881</v>
      </c>
      <c r="AG156" s="777" t="s">
        <v>119</v>
      </c>
      <c r="AH156" s="778">
        <v>5.5728472445560728E-2</v>
      </c>
      <c r="AI156" s="779">
        <v>8844.1085771104881</v>
      </c>
      <c r="AJ156" s="777" t="s">
        <v>119</v>
      </c>
      <c r="AK156" s="778">
        <v>6.7886757548374116E-2</v>
      </c>
      <c r="AL156" s="779">
        <v>9015.3614024240833</v>
      </c>
      <c r="AM156" s="777" t="s">
        <v>119</v>
      </c>
      <c r="AN156" s="778">
        <v>8.4476461606464909E-2</v>
      </c>
      <c r="AO156" s="779">
        <v>8557.4655607348959</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0.98764300072858591</v>
      </c>
      <c r="E158" s="789">
        <v>1389119.8805247562</v>
      </c>
      <c r="F158" s="777" t="s">
        <v>119</v>
      </c>
      <c r="G158" s="778">
        <v>1.3407471595537754</v>
      </c>
      <c r="H158" s="789">
        <v>106187.17503665901</v>
      </c>
      <c r="I158" s="777" t="s">
        <v>119</v>
      </c>
      <c r="J158" s="778">
        <v>1.0941234401103597</v>
      </c>
      <c r="K158" s="789">
        <v>104160.55149850625</v>
      </c>
      <c r="L158" s="777" t="s">
        <v>119</v>
      </c>
      <c r="M158" s="778">
        <v>1.0646895568737462</v>
      </c>
      <c r="N158" s="789">
        <v>108598.33480112211</v>
      </c>
      <c r="O158" s="777" t="s">
        <v>119</v>
      </c>
      <c r="P158" s="778">
        <v>1.0734529933310657</v>
      </c>
      <c r="Q158" s="789">
        <v>117757.7933684179</v>
      </c>
      <c r="R158" s="777" t="s">
        <v>119</v>
      </c>
      <c r="S158" s="778">
        <v>0.88831241888778634</v>
      </c>
      <c r="T158" s="789">
        <v>134756.99394527718</v>
      </c>
      <c r="U158" s="777" t="s">
        <v>119</v>
      </c>
      <c r="V158" s="778">
        <v>0.85783311479655711</v>
      </c>
      <c r="W158" s="789">
        <v>122069.65223555008</v>
      </c>
      <c r="X158" s="777" t="s">
        <v>119</v>
      </c>
      <c r="Y158" s="778">
        <v>0.89940554489964275</v>
      </c>
      <c r="Z158" s="789">
        <v>115753.49362858402</v>
      </c>
      <c r="AA158" s="777" t="s">
        <v>119</v>
      </c>
      <c r="AB158" s="778">
        <v>1.0422830486161661</v>
      </c>
      <c r="AC158" s="789">
        <v>118611.81093251969</v>
      </c>
      <c r="AD158" s="777" t="s">
        <v>119</v>
      </c>
      <c r="AE158" s="778">
        <v>1.1758209244728102</v>
      </c>
      <c r="AF158" s="789">
        <v>107117.286219473</v>
      </c>
      <c r="AG158" s="777" t="s">
        <v>119</v>
      </c>
      <c r="AH158" s="778">
        <v>0.84114201535650557</v>
      </c>
      <c r="AI158" s="789">
        <v>133489.23783707744</v>
      </c>
      <c r="AJ158" s="777" t="s">
        <v>119</v>
      </c>
      <c r="AK158" s="778">
        <v>0.88947556751854395</v>
      </c>
      <c r="AL158" s="789">
        <v>118122.35536646264</v>
      </c>
      <c r="AM158" s="777" t="s">
        <v>119</v>
      </c>
      <c r="AN158" s="778">
        <v>1.0117985750750942</v>
      </c>
      <c r="AO158" s="789">
        <v>102495.19565510705</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140627.54999999999</v>
      </c>
      <c r="F165" s="776"/>
      <c r="G165" s="784"/>
      <c r="H165" s="775">
        <v>7960.0499999999993</v>
      </c>
      <c r="I165" s="776"/>
      <c r="J165" s="784"/>
      <c r="K165" s="775">
        <v>9476.25</v>
      </c>
      <c r="L165" s="776"/>
      <c r="M165" s="784"/>
      <c r="N165" s="775">
        <v>10234.35</v>
      </c>
      <c r="O165" s="776"/>
      <c r="P165" s="784"/>
      <c r="Q165" s="775">
        <v>10992.449999999999</v>
      </c>
      <c r="R165" s="776"/>
      <c r="S165" s="784"/>
      <c r="T165" s="775">
        <v>15162</v>
      </c>
      <c r="U165" s="776"/>
      <c r="V165" s="784"/>
      <c r="W165" s="775">
        <v>14403.9</v>
      </c>
      <c r="X165" s="776"/>
      <c r="Y165" s="784"/>
      <c r="Z165" s="775">
        <v>12887.699999999999</v>
      </c>
      <c r="AA165" s="776"/>
      <c r="AB165" s="784"/>
      <c r="AC165" s="775">
        <v>11371.5</v>
      </c>
      <c r="AD165" s="776"/>
      <c r="AE165" s="784"/>
      <c r="AF165" s="775">
        <v>9097.1999999999989</v>
      </c>
      <c r="AG165" s="776"/>
      <c r="AH165" s="784"/>
      <c r="AI165" s="775">
        <v>15920.099999999999</v>
      </c>
      <c r="AJ165" s="776"/>
      <c r="AK165" s="784"/>
      <c r="AL165" s="775">
        <v>13266.75</v>
      </c>
      <c r="AM165" s="776"/>
      <c r="AN165" s="784"/>
      <c r="AO165" s="775">
        <v>9855.2999999999993</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140627.54999999999</v>
      </c>
      <c r="F166" s="814"/>
      <c r="G166" s="815"/>
      <c r="H166" s="789">
        <v>7960.0499999999993</v>
      </c>
      <c r="I166" s="814"/>
      <c r="J166" s="815"/>
      <c r="K166" s="789">
        <v>9476.25</v>
      </c>
      <c r="L166" s="814"/>
      <c r="M166" s="815"/>
      <c r="N166" s="789">
        <v>10234.35</v>
      </c>
      <c r="O166" s="814"/>
      <c r="P166" s="815"/>
      <c r="Q166" s="789">
        <v>10992.449999999999</v>
      </c>
      <c r="R166" s="814"/>
      <c r="S166" s="815"/>
      <c r="T166" s="789">
        <v>15162</v>
      </c>
      <c r="U166" s="814"/>
      <c r="V166" s="815"/>
      <c r="W166" s="789">
        <v>14403.9</v>
      </c>
      <c r="X166" s="814"/>
      <c r="Y166" s="815"/>
      <c r="Z166" s="789">
        <v>12887.699999999999</v>
      </c>
      <c r="AA166" s="814"/>
      <c r="AB166" s="815"/>
      <c r="AC166" s="789">
        <v>11371.5</v>
      </c>
      <c r="AD166" s="814"/>
      <c r="AE166" s="815"/>
      <c r="AF166" s="789">
        <v>9097.1999999999989</v>
      </c>
      <c r="AG166" s="814"/>
      <c r="AH166" s="815"/>
      <c r="AI166" s="789">
        <v>15920.099999999999</v>
      </c>
      <c r="AJ166" s="814"/>
      <c r="AK166" s="815"/>
      <c r="AL166" s="789">
        <v>13266.75</v>
      </c>
      <c r="AM166" s="814"/>
      <c r="AN166" s="815"/>
      <c r="AO166" s="789">
        <v>9855.2999999999993</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158007.66947524383</v>
      </c>
      <c r="F168" s="816"/>
      <c r="G168" s="817"/>
      <c r="H168" s="798">
        <v>-19027.125036659014</v>
      </c>
      <c r="I168" s="816"/>
      <c r="J168" s="817"/>
      <c r="K168" s="798">
        <v>515.6985014937527</v>
      </c>
      <c r="L168" s="816"/>
      <c r="M168" s="817"/>
      <c r="N168" s="798">
        <v>3636.0151988778907</v>
      </c>
      <c r="O168" s="816"/>
      <c r="P168" s="817"/>
      <c r="Q168" s="798">
        <v>2934.6566315820983</v>
      </c>
      <c r="R168" s="816"/>
      <c r="S168" s="817"/>
      <c r="T168" s="798">
        <v>32105.00605472282</v>
      </c>
      <c r="U168" s="816"/>
      <c r="V168" s="817"/>
      <c r="W168" s="798">
        <v>34634.247764449923</v>
      </c>
      <c r="X168" s="816"/>
      <c r="Y168" s="817"/>
      <c r="Z168" s="798">
        <v>25834.206371415974</v>
      </c>
      <c r="AA168" s="816"/>
      <c r="AB168" s="817"/>
      <c r="AC168" s="798">
        <v>6559.6890674803144</v>
      </c>
      <c r="AD168" s="816"/>
      <c r="AE168" s="817"/>
      <c r="AF168" s="798">
        <v>-6920.086219472998</v>
      </c>
      <c r="AG168" s="816"/>
      <c r="AH168" s="817"/>
      <c r="AI168" s="798">
        <v>41130.86216292256</v>
      </c>
      <c r="AJ168" s="816"/>
      <c r="AK168" s="817"/>
      <c r="AL168" s="798">
        <v>27944.394633537362</v>
      </c>
      <c r="AM168" s="816"/>
      <c r="AN168" s="817"/>
      <c r="AO168" s="798">
        <v>8660.1043448929522</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3933</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2025</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5996</v>
      </c>
      <c r="D175" s="770">
        <v>2038640</v>
      </c>
      <c r="E175" s="758">
        <v>1590139.2000000002</v>
      </c>
      <c r="F175" s="820">
        <v>329.78000000000003</v>
      </c>
      <c r="G175" s="821">
        <v>112125.2</v>
      </c>
      <c r="H175" s="771">
        <v>87457.656000000003</v>
      </c>
      <c r="I175" s="820">
        <v>293.80400000000003</v>
      </c>
      <c r="J175" s="821">
        <v>99893.36</v>
      </c>
      <c r="K175" s="771">
        <v>77916.820800000001</v>
      </c>
      <c r="L175" s="820">
        <v>359.76</v>
      </c>
      <c r="M175" s="821">
        <v>122318.39999999999</v>
      </c>
      <c r="N175" s="771">
        <v>95408.351999999999</v>
      </c>
      <c r="O175" s="820">
        <v>653.56399999999996</v>
      </c>
      <c r="P175" s="821">
        <v>222211.76</v>
      </c>
      <c r="Q175" s="771">
        <v>173325.1728</v>
      </c>
      <c r="R175" s="820">
        <v>641.572</v>
      </c>
      <c r="S175" s="821">
        <v>218134.47999999998</v>
      </c>
      <c r="T175" s="771">
        <v>170144.89439999999</v>
      </c>
      <c r="U175" s="820">
        <v>419.72</v>
      </c>
      <c r="V175" s="821">
        <v>142704.80000000002</v>
      </c>
      <c r="W175" s="771">
        <v>111309.74400000002</v>
      </c>
      <c r="X175" s="820">
        <v>419.72</v>
      </c>
      <c r="Y175" s="821">
        <v>142704.80000000002</v>
      </c>
      <c r="Z175" s="771">
        <v>111309.74400000002</v>
      </c>
      <c r="AA175" s="820">
        <v>419.72</v>
      </c>
      <c r="AB175" s="821">
        <v>142704.80000000002</v>
      </c>
      <c r="AC175" s="771">
        <v>111309.74400000002</v>
      </c>
      <c r="AD175" s="820">
        <v>389.74</v>
      </c>
      <c r="AE175" s="821">
        <v>132511.6</v>
      </c>
      <c r="AF175" s="771">
        <v>103359.04800000001</v>
      </c>
      <c r="AG175" s="820">
        <v>659.56000000000006</v>
      </c>
      <c r="AH175" s="821">
        <v>224250.4</v>
      </c>
      <c r="AI175" s="771">
        <v>174915.31200000001</v>
      </c>
      <c r="AJ175" s="820">
        <v>959.36</v>
      </c>
      <c r="AK175" s="821">
        <v>326182.40000000002</v>
      </c>
      <c r="AL175" s="771">
        <v>254422.27200000003</v>
      </c>
      <c r="AM175" s="820">
        <v>449.7</v>
      </c>
      <c r="AN175" s="821">
        <v>152898</v>
      </c>
      <c r="AO175" s="771">
        <v>119260.44</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0.78000000000000014</v>
      </c>
      <c r="F176" s="819"/>
      <c r="G176" s="757"/>
      <c r="H176" s="822">
        <v>0.78</v>
      </c>
      <c r="I176" s="819"/>
      <c r="J176" s="757"/>
      <c r="K176" s="822">
        <v>0.78</v>
      </c>
      <c r="L176" s="819"/>
      <c r="M176" s="757"/>
      <c r="N176" s="822">
        <v>0.78</v>
      </c>
      <c r="O176" s="819"/>
      <c r="P176" s="757"/>
      <c r="Q176" s="822">
        <v>0.77999999999999992</v>
      </c>
      <c r="R176" s="819"/>
      <c r="S176" s="757"/>
      <c r="T176" s="822">
        <v>0.78</v>
      </c>
      <c r="U176" s="819"/>
      <c r="V176" s="757"/>
      <c r="W176" s="822">
        <v>0.78</v>
      </c>
      <c r="X176" s="819"/>
      <c r="Y176" s="757"/>
      <c r="Z176" s="822">
        <v>0.78</v>
      </c>
      <c r="AA176" s="819"/>
      <c r="AB176" s="757"/>
      <c r="AC176" s="822">
        <v>0.78</v>
      </c>
      <c r="AD176" s="819"/>
      <c r="AE176" s="757"/>
      <c r="AF176" s="822">
        <v>0.78</v>
      </c>
      <c r="AG176" s="819"/>
      <c r="AH176" s="757"/>
      <c r="AI176" s="822">
        <v>0.78</v>
      </c>
      <c r="AJ176" s="819"/>
      <c r="AK176" s="757"/>
      <c r="AL176" s="822">
        <v>0.78</v>
      </c>
      <c r="AM176" s="819"/>
      <c r="AN176" s="757"/>
      <c r="AO176" s="822">
        <v>0.78</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340</v>
      </c>
      <c r="E177" s="825"/>
      <c r="F177" s="823"/>
      <c r="G177" s="824">
        <v>339.99999999999994</v>
      </c>
      <c r="H177" s="825"/>
      <c r="I177" s="823"/>
      <c r="J177" s="824">
        <v>339.99999999999994</v>
      </c>
      <c r="K177" s="825"/>
      <c r="L177" s="823"/>
      <c r="M177" s="824">
        <v>340</v>
      </c>
      <c r="N177" s="825"/>
      <c r="O177" s="823"/>
      <c r="P177" s="824">
        <v>340.00000000000006</v>
      </c>
      <c r="Q177" s="825"/>
      <c r="R177" s="823"/>
      <c r="S177" s="824">
        <v>339.99999999999994</v>
      </c>
      <c r="T177" s="825"/>
      <c r="U177" s="823"/>
      <c r="V177" s="824">
        <v>340</v>
      </c>
      <c r="W177" s="825"/>
      <c r="X177" s="823"/>
      <c r="Y177" s="824">
        <v>340</v>
      </c>
      <c r="Z177" s="825"/>
      <c r="AA177" s="823"/>
      <c r="AB177" s="824">
        <v>340</v>
      </c>
      <c r="AC177" s="825"/>
      <c r="AD177" s="823"/>
      <c r="AE177" s="824">
        <v>340</v>
      </c>
      <c r="AF177" s="825"/>
      <c r="AG177" s="823"/>
      <c r="AH177" s="824">
        <v>339.99999999999994</v>
      </c>
      <c r="AI177" s="825"/>
      <c r="AJ177" s="823"/>
      <c r="AK177" s="824">
        <v>340</v>
      </c>
      <c r="AL177" s="825"/>
      <c r="AM177" s="823"/>
      <c r="AN177" s="824">
        <v>340</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1369.9999999999998</v>
      </c>
      <c r="D178" s="827">
        <v>369899.99999999994</v>
      </c>
      <c r="E178" s="782">
        <v>236735.99999999997</v>
      </c>
      <c r="F178" s="828">
        <v>109.60000000000001</v>
      </c>
      <c r="G178" s="829">
        <v>29592</v>
      </c>
      <c r="H178" s="783">
        <v>18938.88</v>
      </c>
      <c r="I178" s="828">
        <v>79.460000000000008</v>
      </c>
      <c r="J178" s="829">
        <v>21454.2</v>
      </c>
      <c r="K178" s="783">
        <v>13730.688</v>
      </c>
      <c r="L178" s="828">
        <v>60.279999999999994</v>
      </c>
      <c r="M178" s="829">
        <v>16275.599999999999</v>
      </c>
      <c r="N178" s="783">
        <v>10416.384</v>
      </c>
      <c r="O178" s="828">
        <v>82.2</v>
      </c>
      <c r="P178" s="829">
        <v>22194</v>
      </c>
      <c r="Q178" s="783">
        <v>14204.16</v>
      </c>
      <c r="R178" s="828">
        <v>123.3</v>
      </c>
      <c r="S178" s="829">
        <v>33291</v>
      </c>
      <c r="T178" s="783">
        <v>21306.240000000002</v>
      </c>
      <c r="U178" s="828">
        <v>127.41</v>
      </c>
      <c r="V178" s="829">
        <v>34400.699999999997</v>
      </c>
      <c r="W178" s="783">
        <v>22016.448</v>
      </c>
      <c r="X178" s="828">
        <v>149.33000000000001</v>
      </c>
      <c r="Y178" s="829">
        <v>40319.1</v>
      </c>
      <c r="Z178" s="783">
        <v>25804.223999999998</v>
      </c>
      <c r="AA178" s="828">
        <v>150.69999999999999</v>
      </c>
      <c r="AB178" s="829">
        <v>40689</v>
      </c>
      <c r="AC178" s="783">
        <v>26040.959999999999</v>
      </c>
      <c r="AD178" s="828">
        <v>143.85</v>
      </c>
      <c r="AE178" s="829">
        <v>38839.5</v>
      </c>
      <c r="AF178" s="783">
        <v>24857.279999999999</v>
      </c>
      <c r="AG178" s="828">
        <v>149.33000000000001</v>
      </c>
      <c r="AH178" s="829">
        <v>40319.1</v>
      </c>
      <c r="AI178" s="783">
        <v>25804.223999999998</v>
      </c>
      <c r="AJ178" s="828">
        <v>113.71000000000001</v>
      </c>
      <c r="AK178" s="829">
        <v>30701.7</v>
      </c>
      <c r="AL178" s="783">
        <v>19649.088</v>
      </c>
      <c r="AM178" s="828">
        <v>80.83</v>
      </c>
      <c r="AN178" s="829">
        <v>21824.1</v>
      </c>
      <c r="AO178" s="783">
        <v>13967.423999999999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269.99999999999994</v>
      </c>
      <c r="Z180" s="825"/>
      <c r="AA180" s="776"/>
      <c r="AB180" s="824">
        <v>270</v>
      </c>
      <c r="AC180" s="825"/>
      <c r="AD180" s="776"/>
      <c r="AE180" s="824">
        <v>270</v>
      </c>
      <c r="AF180" s="825"/>
      <c r="AG180" s="776"/>
      <c r="AH180" s="824">
        <v>269.99999999999994</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3023.0000000000005</v>
      </c>
      <c r="D181" s="770">
        <v>928121.46000000008</v>
      </c>
      <c r="E181" s="758">
        <v>686809.88040000002</v>
      </c>
      <c r="F181" s="820">
        <v>196.495</v>
      </c>
      <c r="G181" s="821">
        <v>60327.894899999999</v>
      </c>
      <c r="H181" s="771">
        <v>44642.642225999996</v>
      </c>
      <c r="I181" s="820">
        <v>205.56400000000002</v>
      </c>
      <c r="J181" s="821">
        <v>63112.259279999998</v>
      </c>
      <c r="K181" s="771">
        <v>46703.0718672</v>
      </c>
      <c r="L181" s="820">
        <v>226.72499999999999</v>
      </c>
      <c r="M181" s="821">
        <v>69609.109499999991</v>
      </c>
      <c r="N181" s="771">
        <v>51510.74102999999</v>
      </c>
      <c r="O181" s="820">
        <v>226.72499999999999</v>
      </c>
      <c r="P181" s="821">
        <v>69609.109499999991</v>
      </c>
      <c r="Q181" s="771">
        <v>51510.74102999999</v>
      </c>
      <c r="R181" s="820">
        <v>232.77099999999999</v>
      </c>
      <c r="S181" s="821">
        <v>71465.352419999996</v>
      </c>
      <c r="T181" s="771">
        <v>52884.360790799998</v>
      </c>
      <c r="U181" s="820">
        <v>272.07</v>
      </c>
      <c r="V181" s="821">
        <v>83530.931399999987</v>
      </c>
      <c r="W181" s="771">
        <v>61812.889235999988</v>
      </c>
      <c r="X181" s="820">
        <v>272.07</v>
      </c>
      <c r="Y181" s="821">
        <v>83530.931399999987</v>
      </c>
      <c r="Z181" s="771">
        <v>61812.889235999988</v>
      </c>
      <c r="AA181" s="820">
        <v>332.53000000000003</v>
      </c>
      <c r="AB181" s="821">
        <v>102093.3606</v>
      </c>
      <c r="AC181" s="771">
        <v>75549.086844000005</v>
      </c>
      <c r="AD181" s="820">
        <v>241.84</v>
      </c>
      <c r="AE181" s="821">
        <v>74249.716799999995</v>
      </c>
      <c r="AF181" s="771">
        <v>54944.790431999994</v>
      </c>
      <c r="AG181" s="820">
        <v>272.07</v>
      </c>
      <c r="AH181" s="821">
        <v>83530.931399999987</v>
      </c>
      <c r="AI181" s="771">
        <v>61812.889235999988</v>
      </c>
      <c r="AJ181" s="820">
        <v>332.53000000000003</v>
      </c>
      <c r="AK181" s="821">
        <v>102093.3606</v>
      </c>
      <c r="AL181" s="771">
        <v>75549.086844000005</v>
      </c>
      <c r="AM181" s="820">
        <v>211.61</v>
      </c>
      <c r="AN181" s="821">
        <v>64968.502200000003</v>
      </c>
      <c r="AO181" s="771">
        <v>48076.691628</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0.74</v>
      </c>
      <c r="F182" s="819"/>
      <c r="G182" s="830"/>
      <c r="H182" s="822">
        <v>0.74</v>
      </c>
      <c r="I182" s="819"/>
      <c r="J182" s="830"/>
      <c r="K182" s="822">
        <v>0.74</v>
      </c>
      <c r="L182" s="819"/>
      <c r="M182" s="830"/>
      <c r="N182" s="822">
        <v>0.74</v>
      </c>
      <c r="O182" s="819"/>
      <c r="P182" s="830"/>
      <c r="Q182" s="822">
        <v>0.74</v>
      </c>
      <c r="R182" s="819"/>
      <c r="S182" s="830"/>
      <c r="T182" s="822">
        <v>0.74</v>
      </c>
      <c r="U182" s="819"/>
      <c r="V182" s="830"/>
      <c r="W182" s="822">
        <v>0.74</v>
      </c>
      <c r="X182" s="819"/>
      <c r="Y182" s="830"/>
      <c r="Z182" s="822">
        <v>0.74</v>
      </c>
      <c r="AA182" s="819"/>
      <c r="AB182" s="830"/>
      <c r="AC182" s="822">
        <v>0.7400000000000001</v>
      </c>
      <c r="AD182" s="819"/>
      <c r="AE182" s="830"/>
      <c r="AF182" s="822">
        <v>0.74</v>
      </c>
      <c r="AG182" s="819"/>
      <c r="AH182" s="830"/>
      <c r="AI182" s="822">
        <v>0.74</v>
      </c>
      <c r="AJ182" s="819"/>
      <c r="AK182" s="830"/>
      <c r="AL182" s="822">
        <v>0.7400000000000001</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307.02</v>
      </c>
      <c r="E183" s="822"/>
      <c r="F183" s="819"/>
      <c r="G183" s="831">
        <v>307.02</v>
      </c>
      <c r="H183" s="822"/>
      <c r="I183" s="819"/>
      <c r="J183" s="831">
        <v>307.02</v>
      </c>
      <c r="K183" s="822"/>
      <c r="L183" s="819"/>
      <c r="M183" s="831">
        <v>307.02</v>
      </c>
      <c r="N183" s="822"/>
      <c r="O183" s="819"/>
      <c r="P183" s="831">
        <v>307.02</v>
      </c>
      <c r="Q183" s="822"/>
      <c r="R183" s="819"/>
      <c r="S183" s="831">
        <v>307.02</v>
      </c>
      <c r="T183" s="822"/>
      <c r="U183" s="819"/>
      <c r="V183" s="831">
        <v>307.02</v>
      </c>
      <c r="W183" s="822"/>
      <c r="X183" s="819"/>
      <c r="Y183" s="831">
        <v>307.02</v>
      </c>
      <c r="Z183" s="822"/>
      <c r="AA183" s="819"/>
      <c r="AB183" s="831">
        <v>307.02</v>
      </c>
      <c r="AC183" s="822"/>
      <c r="AD183" s="819"/>
      <c r="AE183" s="831">
        <v>307.02</v>
      </c>
      <c r="AF183" s="822"/>
      <c r="AG183" s="819"/>
      <c r="AH183" s="831">
        <v>307.02</v>
      </c>
      <c r="AI183" s="822"/>
      <c r="AJ183" s="819"/>
      <c r="AK183" s="831">
        <v>307.02</v>
      </c>
      <c r="AL183" s="822"/>
      <c r="AM183" s="819"/>
      <c r="AN183" s="831">
        <v>307.02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628.00000000000011</v>
      </c>
      <c r="D184" s="827">
        <v>169560</v>
      </c>
      <c r="E184" s="782">
        <v>127170.00000000001</v>
      </c>
      <c r="F184" s="828">
        <v>23.864000000000001</v>
      </c>
      <c r="G184" s="829">
        <v>6443.28</v>
      </c>
      <c r="H184" s="783">
        <v>4832.46</v>
      </c>
      <c r="I184" s="828">
        <v>22.607999999999997</v>
      </c>
      <c r="J184" s="829">
        <v>6104.16</v>
      </c>
      <c r="K184" s="783">
        <v>4578.12</v>
      </c>
      <c r="L184" s="828">
        <v>55.891999999999996</v>
      </c>
      <c r="M184" s="829">
        <v>15090.84</v>
      </c>
      <c r="N184" s="783">
        <v>11318.130000000001</v>
      </c>
      <c r="O184" s="828">
        <v>124.97200000000001</v>
      </c>
      <c r="P184" s="829">
        <v>33742.44</v>
      </c>
      <c r="Q184" s="783">
        <v>25306.83</v>
      </c>
      <c r="R184" s="828">
        <v>107.38800000000001</v>
      </c>
      <c r="S184" s="829">
        <v>28994.760000000002</v>
      </c>
      <c r="T184" s="783">
        <v>21746.07</v>
      </c>
      <c r="U184" s="828">
        <v>37.68</v>
      </c>
      <c r="V184" s="829">
        <v>10173.6</v>
      </c>
      <c r="W184" s="783">
        <v>7630.2000000000007</v>
      </c>
      <c r="X184" s="828">
        <v>39.564</v>
      </c>
      <c r="Y184" s="829">
        <v>10682.28</v>
      </c>
      <c r="Z184" s="783">
        <v>8011.7100000000009</v>
      </c>
      <c r="AA184" s="828">
        <v>29.516000000000002</v>
      </c>
      <c r="AB184" s="829">
        <v>7969.32</v>
      </c>
      <c r="AC184" s="783">
        <v>5976.99</v>
      </c>
      <c r="AD184" s="828">
        <v>28.259999999999998</v>
      </c>
      <c r="AE184" s="829">
        <v>7630.2</v>
      </c>
      <c r="AF184" s="783">
        <v>5722.65</v>
      </c>
      <c r="AG184" s="828">
        <v>44.587999999999994</v>
      </c>
      <c r="AH184" s="829">
        <v>12038.759999999998</v>
      </c>
      <c r="AI184" s="783">
        <v>9029.07</v>
      </c>
      <c r="AJ184" s="828">
        <v>86.036000000000001</v>
      </c>
      <c r="AK184" s="829">
        <v>23229.72</v>
      </c>
      <c r="AL184" s="783">
        <v>17422.29</v>
      </c>
      <c r="AM184" s="828">
        <v>27.631999999999998</v>
      </c>
      <c r="AN184" s="829">
        <v>7460.6399999999994</v>
      </c>
      <c r="AO184" s="783">
        <v>5595.48</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0.75000000000000011</v>
      </c>
      <c r="F185" s="832"/>
      <c r="G185" s="833">
        <v>0</v>
      </c>
      <c r="H185" s="822">
        <v>0.75</v>
      </c>
      <c r="I185" s="832"/>
      <c r="J185" s="833">
        <v>0</v>
      </c>
      <c r="K185" s="822">
        <v>0.75</v>
      </c>
      <c r="L185" s="832"/>
      <c r="M185" s="833">
        <v>0</v>
      </c>
      <c r="N185" s="822">
        <v>0.75000000000000011</v>
      </c>
      <c r="O185" s="832"/>
      <c r="P185" s="833">
        <v>0</v>
      </c>
      <c r="Q185" s="822">
        <v>0.75</v>
      </c>
      <c r="R185" s="832"/>
      <c r="S185" s="833">
        <v>0</v>
      </c>
      <c r="T185" s="822">
        <v>0.74999999999999989</v>
      </c>
      <c r="U185" s="832"/>
      <c r="V185" s="833">
        <v>0</v>
      </c>
      <c r="W185" s="822">
        <v>0.75</v>
      </c>
      <c r="X185" s="832"/>
      <c r="Y185" s="833">
        <v>0</v>
      </c>
      <c r="Z185" s="822">
        <v>0.75</v>
      </c>
      <c r="AA185" s="832"/>
      <c r="AB185" s="833">
        <v>0</v>
      </c>
      <c r="AC185" s="822">
        <v>0.75</v>
      </c>
      <c r="AD185" s="832"/>
      <c r="AE185" s="833">
        <v>0</v>
      </c>
      <c r="AF185" s="822">
        <v>0.75</v>
      </c>
      <c r="AG185" s="832"/>
      <c r="AH185" s="833">
        <v>0</v>
      </c>
      <c r="AI185" s="822">
        <v>0.75000000000000011</v>
      </c>
      <c r="AJ185" s="832"/>
      <c r="AK185" s="833">
        <v>0</v>
      </c>
      <c r="AL185" s="822">
        <v>0.75</v>
      </c>
      <c r="AM185" s="832"/>
      <c r="AN185" s="833">
        <v>0</v>
      </c>
      <c r="AO185" s="822">
        <v>0.75</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269.99999999999994</v>
      </c>
      <c r="E186" s="825"/>
      <c r="F186" s="834"/>
      <c r="G186" s="835">
        <v>270</v>
      </c>
      <c r="H186" s="825"/>
      <c r="I186" s="834"/>
      <c r="J186" s="835">
        <v>270.00000000000006</v>
      </c>
      <c r="K186" s="825"/>
      <c r="L186" s="834"/>
      <c r="M186" s="835">
        <v>270</v>
      </c>
      <c r="N186" s="825"/>
      <c r="O186" s="834"/>
      <c r="P186" s="835">
        <v>270</v>
      </c>
      <c r="Q186" s="825"/>
      <c r="R186" s="834"/>
      <c r="S186" s="835">
        <v>270</v>
      </c>
      <c r="T186" s="825"/>
      <c r="U186" s="834"/>
      <c r="V186" s="835">
        <v>270</v>
      </c>
      <c r="W186" s="825"/>
      <c r="X186" s="834"/>
      <c r="Y186" s="835">
        <v>270</v>
      </c>
      <c r="Z186" s="825"/>
      <c r="AA186" s="834"/>
      <c r="AB186" s="835">
        <v>270</v>
      </c>
      <c r="AC186" s="825"/>
      <c r="AD186" s="834"/>
      <c r="AE186" s="835">
        <v>270</v>
      </c>
      <c r="AF186" s="825"/>
      <c r="AG186" s="834"/>
      <c r="AH186" s="835">
        <v>270</v>
      </c>
      <c r="AI186" s="825"/>
      <c r="AJ186" s="834"/>
      <c r="AK186" s="835">
        <v>270</v>
      </c>
      <c r="AL186" s="825"/>
      <c r="AM186" s="834"/>
      <c r="AN186" s="835">
        <v>270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-41107.000000000029</v>
      </c>
      <c r="F187" s="820"/>
      <c r="G187" s="821"/>
      <c r="H187" s="771">
        <v>-2499.422493693236</v>
      </c>
      <c r="I187" s="820"/>
      <c r="J187" s="821"/>
      <c r="K187" s="771">
        <v>-2262.7911646411389</v>
      </c>
      <c r="L187" s="820"/>
      <c r="M187" s="821"/>
      <c r="N187" s="771">
        <v>-2595.5486726356412</v>
      </c>
      <c r="O187" s="820"/>
      <c r="P187" s="821"/>
      <c r="Q187" s="771">
        <v>-3962.1963906912711</v>
      </c>
      <c r="R187" s="820"/>
      <c r="S187" s="821"/>
      <c r="T187" s="771">
        <v>-4075.8992150135141</v>
      </c>
      <c r="U187" s="820"/>
      <c r="V187" s="821"/>
      <c r="W187" s="771">
        <v>-3232.1005101727992</v>
      </c>
      <c r="X187" s="820"/>
      <c r="Y187" s="821"/>
      <c r="Z187" s="771">
        <v>-3339.351196293635</v>
      </c>
      <c r="AA187" s="820"/>
      <c r="AB187" s="821"/>
      <c r="AC187" s="771">
        <v>-3542.7164610751106</v>
      </c>
      <c r="AD187" s="820"/>
      <c r="AE187" s="821"/>
      <c r="AF187" s="771">
        <v>-3056.6502247129561</v>
      </c>
      <c r="AG187" s="820"/>
      <c r="AH187" s="821"/>
      <c r="AI187" s="771">
        <v>-4207.6552106133495</v>
      </c>
      <c r="AJ187" s="820"/>
      <c r="AK187" s="821"/>
      <c r="AL187" s="771">
        <v>-5470.5901466453215</v>
      </c>
      <c r="AM187" s="820"/>
      <c r="AN187" s="821"/>
      <c r="AO187" s="771">
        <v>-2862.0783138120501</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11017</v>
      </c>
      <c r="D188" s="837">
        <v>3506221.46</v>
      </c>
      <c r="E188" s="838">
        <v>2599748.0804000003</v>
      </c>
      <c r="F188" s="836">
        <v>659.73900000000003</v>
      </c>
      <c r="G188" s="837">
        <v>208488.37490000002</v>
      </c>
      <c r="H188" s="838">
        <v>153372.21573230674</v>
      </c>
      <c r="I188" s="836">
        <v>601.43599999999992</v>
      </c>
      <c r="J188" s="837">
        <v>190563.97928</v>
      </c>
      <c r="K188" s="838">
        <v>140665.90950255885</v>
      </c>
      <c r="L188" s="836">
        <v>702.65699999999993</v>
      </c>
      <c r="M188" s="837">
        <v>223293.94949999999</v>
      </c>
      <c r="N188" s="838">
        <v>166058.05835736438</v>
      </c>
      <c r="O188" s="836">
        <v>1087.461</v>
      </c>
      <c r="P188" s="837">
        <v>347757.30950000003</v>
      </c>
      <c r="Q188" s="838">
        <v>260384.70743930875</v>
      </c>
      <c r="R188" s="836">
        <v>1105.0309999999999</v>
      </c>
      <c r="S188" s="837">
        <v>351885.59242</v>
      </c>
      <c r="T188" s="838">
        <v>262005.66597578648</v>
      </c>
      <c r="U188" s="836">
        <v>856.88</v>
      </c>
      <c r="V188" s="837">
        <v>270810.03139999998</v>
      </c>
      <c r="W188" s="838">
        <v>199537.1807258272</v>
      </c>
      <c r="X188" s="836">
        <v>880.68400000000008</v>
      </c>
      <c r="Y188" s="837">
        <v>277237.11140000005</v>
      </c>
      <c r="Z188" s="838">
        <v>203599.21603970637</v>
      </c>
      <c r="AA188" s="836">
        <v>932.46600000000001</v>
      </c>
      <c r="AB188" s="837">
        <v>293456.48060000001</v>
      </c>
      <c r="AC188" s="838">
        <v>215334.0643829249</v>
      </c>
      <c r="AD188" s="836">
        <v>803.69</v>
      </c>
      <c r="AE188" s="837">
        <v>253231.01680000001</v>
      </c>
      <c r="AF188" s="838">
        <v>185827.11820728701</v>
      </c>
      <c r="AG188" s="836">
        <v>1125.548</v>
      </c>
      <c r="AH188" s="837">
        <v>360139.19140000001</v>
      </c>
      <c r="AI188" s="838">
        <v>267353.84002538666</v>
      </c>
      <c r="AJ188" s="836">
        <v>1491.636</v>
      </c>
      <c r="AK188" s="837">
        <v>482207.18060000008</v>
      </c>
      <c r="AL188" s="838">
        <v>361572.14669735468</v>
      </c>
      <c r="AM188" s="836">
        <v>769.77199999999993</v>
      </c>
      <c r="AN188" s="837">
        <v>247151.24220000004</v>
      </c>
      <c r="AO188" s="838">
        <v>184037.95731418795</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318.25555595897248</v>
      </c>
      <c r="E189" s="841">
        <v>0.74146716345749597</v>
      </c>
      <c r="F189" s="839"/>
      <c r="G189" s="840">
        <v>316.0164472617202</v>
      </c>
      <c r="H189" s="841">
        <v>0.735639173195487</v>
      </c>
      <c r="I189" s="839"/>
      <c r="J189" s="840">
        <v>316.84830851495423</v>
      </c>
      <c r="K189" s="841">
        <v>0.73815581535414532</v>
      </c>
      <c r="L189" s="839"/>
      <c r="M189" s="840">
        <v>317.78513485242445</v>
      </c>
      <c r="N189" s="841">
        <v>0.7436746885851665</v>
      </c>
      <c r="O189" s="839"/>
      <c r="P189" s="840">
        <v>319.78830459207273</v>
      </c>
      <c r="Q189" s="841">
        <v>0.74875408891817619</v>
      </c>
      <c r="R189" s="839"/>
      <c r="S189" s="840">
        <v>318.43956632890843</v>
      </c>
      <c r="T189" s="841">
        <v>0.74457628166561718</v>
      </c>
      <c r="U189" s="839"/>
      <c r="V189" s="840">
        <v>316.04195616655772</v>
      </c>
      <c r="W189" s="841">
        <v>0.73681606140763967</v>
      </c>
      <c r="X189" s="839"/>
      <c r="Y189" s="840">
        <v>314.79748854299618</v>
      </c>
      <c r="Z189" s="841">
        <v>0.73438658703218018</v>
      </c>
      <c r="AA189" s="839"/>
      <c r="AB189" s="840">
        <v>314.7101133982365</v>
      </c>
      <c r="AC189" s="841">
        <v>0.73378534337580037</v>
      </c>
      <c r="AD189" s="839"/>
      <c r="AE189" s="840">
        <v>315.08543941071804</v>
      </c>
      <c r="AF189" s="841">
        <v>0.73382447598846823</v>
      </c>
      <c r="AG189" s="839"/>
      <c r="AH189" s="840">
        <v>319.96786578626592</v>
      </c>
      <c r="AI189" s="841">
        <v>0.74236252651670342</v>
      </c>
      <c r="AJ189" s="839"/>
      <c r="AK189" s="840">
        <v>323.27402972306925</v>
      </c>
      <c r="AL189" s="841">
        <v>0.74982737969073421</v>
      </c>
      <c r="AM189" s="839"/>
      <c r="AN189" s="840">
        <v>321.07070950878972</v>
      </c>
      <c r="AO189" s="841">
        <v>0.7446369910018924</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212148</v>
      </c>
      <c r="E191" s="758">
        <v>37338.047999999988</v>
      </c>
      <c r="F191" s="820">
        <v>0</v>
      </c>
      <c r="G191" s="843">
        <v>13789.62</v>
      </c>
      <c r="H191" s="771">
        <v>2426.9731200000001</v>
      </c>
      <c r="I191" s="820">
        <v>0</v>
      </c>
      <c r="J191" s="843">
        <v>14426.064</v>
      </c>
      <c r="K191" s="771">
        <v>2538.9872639999999</v>
      </c>
      <c r="L191" s="820">
        <v>0</v>
      </c>
      <c r="M191" s="843">
        <v>15911.099999999999</v>
      </c>
      <c r="N191" s="771">
        <v>2800.3535999999995</v>
      </c>
      <c r="O191" s="820">
        <v>0</v>
      </c>
      <c r="P191" s="843">
        <v>15911.099999999999</v>
      </c>
      <c r="Q191" s="771">
        <v>2800.3535999999995</v>
      </c>
      <c r="R191" s="820">
        <v>0</v>
      </c>
      <c r="S191" s="843">
        <v>16335.396000000001</v>
      </c>
      <c r="T191" s="771">
        <v>2875.0296960000001</v>
      </c>
      <c r="U191" s="820">
        <v>0</v>
      </c>
      <c r="V191" s="843">
        <v>19093.32</v>
      </c>
      <c r="W191" s="771">
        <v>3360.4243199999996</v>
      </c>
      <c r="X191" s="820">
        <v>0</v>
      </c>
      <c r="Y191" s="843">
        <v>19093.32</v>
      </c>
      <c r="Z191" s="771">
        <v>3360.4243199999996</v>
      </c>
      <c r="AA191" s="820">
        <v>0</v>
      </c>
      <c r="AB191" s="843">
        <v>23336.28</v>
      </c>
      <c r="AC191" s="771">
        <v>4107.1852799999997</v>
      </c>
      <c r="AD191" s="820">
        <v>0</v>
      </c>
      <c r="AE191" s="843">
        <v>16971.84</v>
      </c>
      <c r="AF191" s="771">
        <v>2987.0438399999998</v>
      </c>
      <c r="AG191" s="820">
        <v>0</v>
      </c>
      <c r="AH191" s="843">
        <v>19093.32</v>
      </c>
      <c r="AI191" s="771">
        <v>3360.4243199999996</v>
      </c>
      <c r="AJ191" s="820">
        <v>0</v>
      </c>
      <c r="AK191" s="843">
        <v>23336.28</v>
      </c>
      <c r="AL191" s="771">
        <v>4107.1852799999997</v>
      </c>
      <c r="AM191" s="820">
        <v>0</v>
      </c>
      <c r="AN191" s="843">
        <v>14850.36</v>
      </c>
      <c r="AO191" s="771">
        <v>2613.66336</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0.17599999999999993</v>
      </c>
      <c r="F192" s="819"/>
      <c r="G192" s="830"/>
      <c r="H192" s="822">
        <v>0.17599999999999999</v>
      </c>
      <c r="I192" s="819"/>
      <c r="J192" s="830"/>
      <c r="K192" s="822">
        <v>0.17599999999999999</v>
      </c>
      <c r="L192" s="819"/>
      <c r="M192" s="830"/>
      <c r="N192" s="822">
        <v>0.17599999999999999</v>
      </c>
      <c r="O192" s="819"/>
      <c r="P192" s="830"/>
      <c r="Q192" s="822">
        <v>0.17599999999999999</v>
      </c>
      <c r="R192" s="819"/>
      <c r="S192" s="830"/>
      <c r="T192" s="822">
        <v>0.17599999999999999</v>
      </c>
      <c r="U192" s="819"/>
      <c r="V192" s="830"/>
      <c r="W192" s="822">
        <v>0.17599999999999999</v>
      </c>
      <c r="X192" s="819"/>
      <c r="Y192" s="830"/>
      <c r="Z192" s="822">
        <v>0.17599999999999999</v>
      </c>
      <c r="AA192" s="819"/>
      <c r="AB192" s="830"/>
      <c r="AC192" s="822">
        <v>0.17599999999999999</v>
      </c>
      <c r="AD192" s="819"/>
      <c r="AE192" s="830"/>
      <c r="AF192" s="822">
        <v>0.17599999999999999</v>
      </c>
      <c r="AG192" s="819"/>
      <c r="AH192" s="830"/>
      <c r="AI192" s="822">
        <v>0.17599999999999999</v>
      </c>
      <c r="AJ192" s="819"/>
      <c r="AK192" s="830"/>
      <c r="AL192" s="822">
        <v>0.17599999999999999</v>
      </c>
      <c r="AM192" s="819"/>
      <c r="AN192" s="830"/>
      <c r="AO192" s="822">
        <v>0.17599999999999999</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130000</v>
      </c>
      <c r="E194" s="782">
        <v>91000</v>
      </c>
      <c r="F194" s="828">
        <v>0</v>
      </c>
      <c r="G194" s="845">
        <v>4940</v>
      </c>
      <c r="H194" s="783">
        <v>3458</v>
      </c>
      <c r="I194" s="828">
        <v>0</v>
      </c>
      <c r="J194" s="845">
        <v>4680</v>
      </c>
      <c r="K194" s="783">
        <v>3276</v>
      </c>
      <c r="L194" s="828">
        <v>0</v>
      </c>
      <c r="M194" s="845">
        <v>11570</v>
      </c>
      <c r="N194" s="783">
        <v>8098.9999999999991</v>
      </c>
      <c r="O194" s="828">
        <v>0</v>
      </c>
      <c r="P194" s="845">
        <v>25870</v>
      </c>
      <c r="Q194" s="783">
        <v>18109</v>
      </c>
      <c r="R194" s="828">
        <v>0</v>
      </c>
      <c r="S194" s="845">
        <v>22230</v>
      </c>
      <c r="T194" s="783">
        <v>15560.999999999998</v>
      </c>
      <c r="U194" s="828">
        <v>0</v>
      </c>
      <c r="V194" s="845">
        <v>7800</v>
      </c>
      <c r="W194" s="783">
        <v>5460</v>
      </c>
      <c r="X194" s="828">
        <v>0</v>
      </c>
      <c r="Y194" s="845">
        <v>8190</v>
      </c>
      <c r="Z194" s="783">
        <v>5733</v>
      </c>
      <c r="AA194" s="828">
        <v>0</v>
      </c>
      <c r="AB194" s="845">
        <v>6110</v>
      </c>
      <c r="AC194" s="783">
        <v>4277</v>
      </c>
      <c r="AD194" s="828">
        <v>0</v>
      </c>
      <c r="AE194" s="845">
        <v>5850</v>
      </c>
      <c r="AF194" s="783">
        <v>4094.9999999999995</v>
      </c>
      <c r="AG194" s="828">
        <v>0</v>
      </c>
      <c r="AH194" s="845">
        <v>9230</v>
      </c>
      <c r="AI194" s="783">
        <v>6461</v>
      </c>
      <c r="AJ194" s="828">
        <v>0</v>
      </c>
      <c r="AK194" s="845">
        <v>17810</v>
      </c>
      <c r="AL194" s="783">
        <v>12467</v>
      </c>
      <c r="AM194" s="828">
        <v>0</v>
      </c>
      <c r="AN194" s="845">
        <v>5720</v>
      </c>
      <c r="AO194" s="783">
        <v>4003.9999999999995</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3848369.46</v>
      </c>
      <c r="E197" s="761">
        <v>2728086.1284000003</v>
      </c>
      <c r="F197" s="759"/>
      <c r="G197" s="850">
        <v>227217.99490000002</v>
      </c>
      <c r="H197" s="761">
        <v>159257.18885230675</v>
      </c>
      <c r="I197" s="759"/>
      <c r="J197" s="850">
        <v>209670.04328000001</v>
      </c>
      <c r="K197" s="761">
        <v>146480.89676655884</v>
      </c>
      <c r="L197" s="759"/>
      <c r="M197" s="850">
        <v>250775.04949999999</v>
      </c>
      <c r="N197" s="761">
        <v>176957.41195736438</v>
      </c>
      <c r="O197" s="759"/>
      <c r="P197" s="850">
        <v>389538.40950000001</v>
      </c>
      <c r="Q197" s="761">
        <v>281294.06103930873</v>
      </c>
      <c r="R197" s="759"/>
      <c r="S197" s="850">
        <v>390450.98842000001</v>
      </c>
      <c r="T197" s="761">
        <v>280441.6956717865</v>
      </c>
      <c r="U197" s="759"/>
      <c r="V197" s="850">
        <v>297703.35139999999</v>
      </c>
      <c r="W197" s="761">
        <v>208357.60504582719</v>
      </c>
      <c r="X197" s="759"/>
      <c r="Y197" s="850">
        <v>304520.43140000006</v>
      </c>
      <c r="Z197" s="761">
        <v>212692.64035970636</v>
      </c>
      <c r="AA197" s="759"/>
      <c r="AB197" s="850">
        <v>322902.76060000004</v>
      </c>
      <c r="AC197" s="761">
        <v>223718.24966292491</v>
      </c>
      <c r="AD197" s="759"/>
      <c r="AE197" s="850">
        <v>276052.85680000001</v>
      </c>
      <c r="AF197" s="761">
        <v>192909.16204728701</v>
      </c>
      <c r="AG197" s="759"/>
      <c r="AH197" s="850">
        <v>388462.51140000002</v>
      </c>
      <c r="AI197" s="761">
        <v>277175.26434538665</v>
      </c>
      <c r="AJ197" s="759"/>
      <c r="AK197" s="850">
        <v>523353.46060000011</v>
      </c>
      <c r="AL197" s="761">
        <v>378146.33197735465</v>
      </c>
      <c r="AM197" s="759"/>
      <c r="AN197" s="850">
        <v>267721.60220000002</v>
      </c>
      <c r="AO197" s="761">
        <v>190655.62067418796</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0.70889402817368796</v>
      </c>
      <c r="F198" s="762"/>
      <c r="G198" s="763"/>
      <c r="H198" s="851">
        <v>0.70090042350033399</v>
      </c>
      <c r="I198" s="762"/>
      <c r="J198" s="763"/>
      <c r="K198" s="851">
        <v>0.69862577636302392</v>
      </c>
      <c r="L198" s="762"/>
      <c r="M198" s="763"/>
      <c r="N198" s="851">
        <v>0.70564201785698133</v>
      </c>
      <c r="O198" s="762"/>
      <c r="P198" s="763"/>
      <c r="Q198" s="851">
        <v>0.72212150119000962</v>
      </c>
      <c r="R198" s="762"/>
      <c r="S198" s="763"/>
      <c r="T198" s="851">
        <v>0.71825069980389245</v>
      </c>
      <c r="U198" s="762"/>
      <c r="V198" s="763"/>
      <c r="W198" s="851">
        <v>0.69988330351670747</v>
      </c>
      <c r="X198" s="762"/>
      <c r="Y198" s="763"/>
      <c r="Z198" s="851">
        <v>0.69845113308776929</v>
      </c>
      <c r="AA198" s="762"/>
      <c r="AB198" s="763"/>
      <c r="AC198" s="851">
        <v>0.69283473838137533</v>
      </c>
      <c r="AD198" s="762"/>
      <c r="AE198" s="763"/>
      <c r="AF198" s="851">
        <v>0.69881240963591795</v>
      </c>
      <c r="AG198" s="762"/>
      <c r="AH198" s="763"/>
      <c r="AI198" s="851">
        <v>0.71351869539858681</v>
      </c>
      <c r="AJ198" s="762"/>
      <c r="AK198" s="763"/>
      <c r="AL198" s="851">
        <v>0.72254481998423725</v>
      </c>
      <c r="AM198" s="762"/>
      <c r="AN198" s="763"/>
      <c r="AO198" s="851">
        <v>0.71214134050998124</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199996.82499999998</v>
      </c>
      <c r="F201" s="747"/>
      <c r="G201" s="757"/>
      <c r="H201" s="771">
        <v>18635.594711538462</v>
      </c>
      <c r="I201" s="747"/>
      <c r="J201" s="757"/>
      <c r="K201" s="771">
        <v>15681.80576923077</v>
      </c>
      <c r="L201" s="747"/>
      <c r="M201" s="757"/>
      <c r="N201" s="771">
        <v>15681.80576923077</v>
      </c>
      <c r="O201" s="747"/>
      <c r="P201" s="757"/>
      <c r="Q201" s="771">
        <v>15681.80576923077</v>
      </c>
      <c r="R201" s="747"/>
      <c r="S201" s="757"/>
      <c r="T201" s="771">
        <v>18635.594711538462</v>
      </c>
      <c r="U201" s="747"/>
      <c r="V201" s="757"/>
      <c r="W201" s="771">
        <v>15681.80576923077</v>
      </c>
      <c r="X201" s="747"/>
      <c r="Y201" s="757"/>
      <c r="Z201" s="771">
        <v>15681.80576923077</v>
      </c>
      <c r="AA201" s="747"/>
      <c r="AB201" s="757"/>
      <c r="AC201" s="771">
        <v>18635.594711538462</v>
      </c>
      <c r="AD201" s="747"/>
      <c r="AE201" s="757"/>
      <c r="AF201" s="771">
        <v>15681.80576923077</v>
      </c>
      <c r="AG201" s="747"/>
      <c r="AH201" s="757"/>
      <c r="AI201" s="771">
        <v>18635.594711538462</v>
      </c>
      <c r="AJ201" s="747"/>
      <c r="AK201" s="757"/>
      <c r="AL201" s="771">
        <v>15681.80576923077</v>
      </c>
      <c r="AM201" s="747"/>
      <c r="AN201" s="757"/>
      <c r="AO201" s="771">
        <v>15681.80576923077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108536.38240000002</v>
      </c>
      <c r="F202" s="747"/>
      <c r="G202" s="757"/>
      <c r="H202" s="771">
        <v>10418.882923076924</v>
      </c>
      <c r="I202" s="747"/>
      <c r="J202" s="757"/>
      <c r="K202" s="771">
        <v>8357.6063384615391</v>
      </c>
      <c r="L202" s="747"/>
      <c r="M202" s="757"/>
      <c r="N202" s="771">
        <v>8357.6063384615391</v>
      </c>
      <c r="O202" s="747"/>
      <c r="P202" s="757"/>
      <c r="Q202" s="771">
        <v>8357.6063384615391</v>
      </c>
      <c r="R202" s="747"/>
      <c r="S202" s="757"/>
      <c r="T202" s="771">
        <v>10418.882923076924</v>
      </c>
      <c r="U202" s="747"/>
      <c r="V202" s="757"/>
      <c r="W202" s="771">
        <v>8357.6063384615391</v>
      </c>
      <c r="X202" s="747"/>
      <c r="Y202" s="757"/>
      <c r="Z202" s="771">
        <v>8357.6063384615391</v>
      </c>
      <c r="AA202" s="747"/>
      <c r="AB202" s="757"/>
      <c r="AC202" s="771">
        <v>10418.882923076924</v>
      </c>
      <c r="AD202" s="747"/>
      <c r="AE202" s="757"/>
      <c r="AF202" s="771">
        <v>8357.6063384615391</v>
      </c>
      <c r="AG202" s="747"/>
      <c r="AH202" s="757"/>
      <c r="AI202" s="771">
        <v>10418.882923076924</v>
      </c>
      <c r="AJ202" s="747"/>
      <c r="AK202" s="757"/>
      <c r="AL202" s="771">
        <v>8357.6063384615391</v>
      </c>
      <c r="AM202" s="747"/>
      <c r="AN202" s="757"/>
      <c r="AO202" s="771">
        <v>8357.6063384615391</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203681.09999999998</v>
      </c>
      <c r="F203" s="780"/>
      <c r="G203" s="781"/>
      <c r="H203" s="783">
        <v>19584.721153846156</v>
      </c>
      <c r="I203" s="780"/>
      <c r="J203" s="781"/>
      <c r="K203" s="783">
        <v>15667.776923076923</v>
      </c>
      <c r="L203" s="780"/>
      <c r="M203" s="781"/>
      <c r="N203" s="783">
        <v>15667.776923076923</v>
      </c>
      <c r="O203" s="780"/>
      <c r="P203" s="781"/>
      <c r="Q203" s="783">
        <v>15667.776923076923</v>
      </c>
      <c r="R203" s="780"/>
      <c r="S203" s="781"/>
      <c r="T203" s="783">
        <v>19584.721153846156</v>
      </c>
      <c r="U203" s="780"/>
      <c r="V203" s="781"/>
      <c r="W203" s="783">
        <v>15667.776923076923</v>
      </c>
      <c r="X203" s="780"/>
      <c r="Y203" s="781"/>
      <c r="Z203" s="783">
        <v>15667.776923076923</v>
      </c>
      <c r="AA203" s="780"/>
      <c r="AB203" s="781"/>
      <c r="AC203" s="783">
        <v>19584.721153846156</v>
      </c>
      <c r="AD203" s="780"/>
      <c r="AE203" s="781"/>
      <c r="AF203" s="783">
        <v>15667.776923076923</v>
      </c>
      <c r="AG203" s="780"/>
      <c r="AH203" s="781"/>
      <c r="AI203" s="783">
        <v>19584.721153846156</v>
      </c>
      <c r="AJ203" s="780"/>
      <c r="AK203" s="781"/>
      <c r="AL203" s="783">
        <v>15667.776923076923</v>
      </c>
      <c r="AM203" s="780"/>
      <c r="AN203" s="781"/>
      <c r="AO203" s="783">
        <v>15667.776923076923</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364410.51199999993</v>
      </c>
      <c r="F204" s="747"/>
      <c r="G204" s="757"/>
      <c r="H204" s="771">
        <v>27038.791267692308</v>
      </c>
      <c r="I204" s="747"/>
      <c r="J204" s="757"/>
      <c r="K204" s="771">
        <v>22603.078374153847</v>
      </c>
      <c r="L204" s="747"/>
      <c r="M204" s="757"/>
      <c r="N204" s="771">
        <v>24741.578166153842</v>
      </c>
      <c r="O204" s="747"/>
      <c r="P204" s="757"/>
      <c r="Q204" s="771">
        <v>34267.622694153848</v>
      </c>
      <c r="R204" s="747"/>
      <c r="S204" s="757"/>
      <c r="T204" s="771">
        <v>37148.063011692306</v>
      </c>
      <c r="U204" s="747"/>
      <c r="V204" s="757"/>
      <c r="W204" s="771">
        <v>26685.668886153846</v>
      </c>
      <c r="X204" s="747"/>
      <c r="Y204" s="757"/>
      <c r="Z204" s="771">
        <v>26685.668886153846</v>
      </c>
      <c r="AA204" s="747"/>
      <c r="AB204" s="757"/>
      <c r="AC204" s="771">
        <v>29954.927347692312</v>
      </c>
      <c r="AD204" s="747"/>
      <c r="AE204" s="757"/>
      <c r="AF204" s="771">
        <v>25713.623526153846</v>
      </c>
      <c r="AG204" s="747"/>
      <c r="AH204" s="757"/>
      <c r="AI204" s="771">
        <v>37731.290227692305</v>
      </c>
      <c r="AJ204" s="747"/>
      <c r="AK204" s="757"/>
      <c r="AL204" s="771">
        <v>44182.485366153844</v>
      </c>
      <c r="AM204" s="747"/>
      <c r="AN204" s="757"/>
      <c r="AO204" s="771">
        <v>27657.714246153846</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207134.68508650007</v>
      </c>
      <c r="F208" s="747"/>
      <c r="G208" s="757"/>
      <c r="H208" s="771">
        <v>15292.002898445113</v>
      </c>
      <c r="I208" s="747"/>
      <c r="J208" s="757"/>
      <c r="K208" s="771">
        <v>13106.342726929111</v>
      </c>
      <c r="L208" s="747"/>
      <c r="M208" s="757"/>
      <c r="N208" s="771">
        <v>14181.905178270679</v>
      </c>
      <c r="O208" s="747"/>
      <c r="P208" s="757"/>
      <c r="Q208" s="771">
        <v>18683.627921397998</v>
      </c>
      <c r="R208" s="747"/>
      <c r="S208" s="757"/>
      <c r="T208" s="771">
        <v>20385.092827274158</v>
      </c>
      <c r="U208" s="747"/>
      <c r="V208" s="757"/>
      <c r="W208" s="771">
        <v>15995.75438182015</v>
      </c>
      <c r="X208" s="747"/>
      <c r="Y208" s="757"/>
      <c r="Z208" s="771">
        <v>16264.186953694872</v>
      </c>
      <c r="AA208" s="747"/>
      <c r="AB208" s="757"/>
      <c r="AC208" s="771">
        <v>18234.194518629949</v>
      </c>
      <c r="AD208" s="747"/>
      <c r="AE208" s="757"/>
      <c r="AF208" s="771">
        <v>15446.301172214462</v>
      </c>
      <c r="AG208" s="747"/>
      <c r="AH208" s="757"/>
      <c r="AI208" s="771">
        <v>20781.05484589054</v>
      </c>
      <c r="AJ208" s="747"/>
      <c r="AK208" s="757"/>
      <c r="AL208" s="771">
        <v>23584.250848731794</v>
      </c>
      <c r="AM208" s="747"/>
      <c r="AN208" s="757"/>
      <c r="AO208" s="771">
        <v>15179.970813201213</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251846.5774620001</v>
      </c>
      <c r="F209" s="780"/>
      <c r="G209" s="781"/>
      <c r="H209" s="783">
        <v>18592.919823660137</v>
      </c>
      <c r="I209" s="780"/>
      <c r="J209" s="781"/>
      <c r="K209" s="783">
        <v>15935.46516578165</v>
      </c>
      <c r="L209" s="780"/>
      <c r="M209" s="781"/>
      <c r="N209" s="783">
        <v>17243.197485474484</v>
      </c>
      <c r="O209" s="780"/>
      <c r="P209" s="781"/>
      <c r="Q209" s="783">
        <v>22716.657737030167</v>
      </c>
      <c r="R209" s="780"/>
      <c r="S209" s="781"/>
      <c r="T209" s="783">
        <v>24785.39920849193</v>
      </c>
      <c r="U209" s="780"/>
      <c r="V209" s="781"/>
      <c r="W209" s="783">
        <v>19448.582420186616</v>
      </c>
      <c r="X209" s="780"/>
      <c r="Y209" s="781"/>
      <c r="Z209" s="783">
        <v>19774.9585868713</v>
      </c>
      <c r="AA209" s="780"/>
      <c r="AB209" s="781"/>
      <c r="AC209" s="783">
        <v>22170.210075514828</v>
      </c>
      <c r="AD209" s="780"/>
      <c r="AE209" s="781"/>
      <c r="AF209" s="783">
        <v>18780.524773265162</v>
      </c>
      <c r="AG209" s="780"/>
      <c r="AH209" s="781"/>
      <c r="AI209" s="783">
        <v>25266.833204695107</v>
      </c>
      <c r="AJ209" s="780"/>
      <c r="AK209" s="781"/>
      <c r="AL209" s="783">
        <v>28675.12437995584</v>
      </c>
      <c r="AM209" s="780"/>
      <c r="AN209" s="781"/>
      <c r="AO209" s="783">
        <v>18456.704601072841</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129755.73664890001</v>
      </c>
      <c r="F210" s="747"/>
      <c r="G210" s="757"/>
      <c r="H210" s="771">
        <v>9579.39564827707</v>
      </c>
      <c r="I210" s="747"/>
      <c r="J210" s="757"/>
      <c r="K210" s="771">
        <v>8210.2287919353275</v>
      </c>
      <c r="L210" s="747"/>
      <c r="M210" s="757"/>
      <c r="N210" s="771">
        <v>8883.9952262118532</v>
      </c>
      <c r="O210" s="747"/>
      <c r="P210" s="757"/>
      <c r="Q210" s="771">
        <v>11704.01713842641</v>
      </c>
      <c r="R210" s="747"/>
      <c r="S210" s="757"/>
      <c r="T210" s="771">
        <v>12769.868722636058</v>
      </c>
      <c r="U210" s="747"/>
      <c r="V210" s="757"/>
      <c r="W210" s="771">
        <v>10020.247899096146</v>
      </c>
      <c r="X210" s="747"/>
      <c r="Y210" s="757"/>
      <c r="Z210" s="771">
        <v>10188.402576279343</v>
      </c>
      <c r="AA210" s="747"/>
      <c r="AB210" s="757"/>
      <c r="AC210" s="771">
        <v>11422.477799776116</v>
      </c>
      <c r="AD210" s="747"/>
      <c r="AE210" s="757"/>
      <c r="AF210" s="771">
        <v>9676.0529810083535</v>
      </c>
      <c r="AG210" s="747"/>
      <c r="AH210" s="757"/>
      <c r="AI210" s="771">
        <v>13017.911890245086</v>
      </c>
      <c r="AJ210" s="747"/>
      <c r="AK210" s="757"/>
      <c r="AL210" s="771">
        <v>14773.922778368549</v>
      </c>
      <c r="AM210" s="747"/>
      <c r="AN210" s="757"/>
      <c r="AO210" s="771">
        <v>9509.2151966397014</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56574.231169000021</v>
      </c>
      <c r="F211" s="747"/>
      <c r="G211" s="757"/>
      <c r="H211" s="771">
        <v>4176.6703951700301</v>
      </c>
      <c r="I211" s="747"/>
      <c r="J211" s="757"/>
      <c r="K211" s="771">
        <v>3579.7059430379068</v>
      </c>
      <c r="L211" s="747"/>
      <c r="M211" s="757"/>
      <c r="N211" s="771">
        <v>3873.4718989109342</v>
      </c>
      <c r="O211" s="747"/>
      <c r="P211" s="757"/>
      <c r="Q211" s="771">
        <v>5103.0173177386605</v>
      </c>
      <c r="R211" s="747"/>
      <c r="S211" s="757"/>
      <c r="T211" s="771">
        <v>5567.7346048061572</v>
      </c>
      <c r="U211" s="747"/>
      <c r="V211" s="757"/>
      <c r="W211" s="771">
        <v>4368.8844567085871</v>
      </c>
      <c r="X211" s="747"/>
      <c r="Y211" s="757"/>
      <c r="Z211" s="771">
        <v>4442.2008419783351</v>
      </c>
      <c r="AA211" s="747"/>
      <c r="AB211" s="757"/>
      <c r="AC211" s="771">
        <v>4980.2645821808665</v>
      </c>
      <c r="AD211" s="747"/>
      <c r="AE211" s="757"/>
      <c r="AF211" s="771">
        <v>4218.8135360233337</v>
      </c>
      <c r="AG211" s="747"/>
      <c r="AH211" s="757"/>
      <c r="AI211" s="771">
        <v>5675.8828213445522</v>
      </c>
      <c r="AJ211" s="747"/>
      <c r="AK211" s="757"/>
      <c r="AL211" s="771">
        <v>6441.5134476712383</v>
      </c>
      <c r="AM211" s="747"/>
      <c r="AN211" s="757"/>
      <c r="AO211" s="771">
        <v>4146.0713234294062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0.55787683311120495</v>
      </c>
      <c r="E213" s="779">
        <v>1521936.0497664001</v>
      </c>
      <c r="F213" s="777" t="s">
        <v>175</v>
      </c>
      <c r="G213" s="778">
        <v>0.77433853825004284</v>
      </c>
      <c r="H213" s="779">
        <v>123318.97882170622</v>
      </c>
      <c r="I213" s="777" t="s">
        <v>175</v>
      </c>
      <c r="J213" s="778">
        <v>0.70413284127404452</v>
      </c>
      <c r="K213" s="779">
        <v>103142.01003260708</v>
      </c>
      <c r="L213" s="777" t="s">
        <v>175</v>
      </c>
      <c r="M213" s="778">
        <v>0.61388407405033896</v>
      </c>
      <c r="N213" s="779">
        <v>108631.33698579101</v>
      </c>
      <c r="O213" s="777" t="s">
        <v>175</v>
      </c>
      <c r="P213" s="778">
        <v>0.46990729683782723</v>
      </c>
      <c r="Q213" s="779">
        <v>132182.13183951634</v>
      </c>
      <c r="R213" s="777" t="s">
        <v>175</v>
      </c>
      <c r="S213" s="778">
        <v>0.53235791776872299</v>
      </c>
      <c r="T213" s="779">
        <v>149295.35716336215</v>
      </c>
      <c r="U213" s="777" t="s">
        <v>175</v>
      </c>
      <c r="V213" s="778">
        <v>0.55782138141380144</v>
      </c>
      <c r="W213" s="779">
        <v>116226.32707473458</v>
      </c>
      <c r="X213" s="777" t="s">
        <v>175</v>
      </c>
      <c r="Y213" s="778">
        <v>0.5503839092775864</v>
      </c>
      <c r="Z213" s="779">
        <v>117062.60687574693</v>
      </c>
      <c r="AA213" s="777" t="s">
        <v>175</v>
      </c>
      <c r="AB213" s="778">
        <v>0.60523123757790875</v>
      </c>
      <c r="AC213" s="779">
        <v>135401.27311225561</v>
      </c>
      <c r="AD213" s="777" t="s">
        <v>175</v>
      </c>
      <c r="AE213" s="778">
        <v>0.58858015769931238</v>
      </c>
      <c r="AF213" s="779">
        <v>113542.50501943439</v>
      </c>
      <c r="AG213" s="777" t="s">
        <v>175</v>
      </c>
      <c r="AH213" s="778">
        <v>0.54518635396710236</v>
      </c>
      <c r="AI213" s="779">
        <v>151112.17177832912</v>
      </c>
      <c r="AJ213" s="777" t="s">
        <v>175</v>
      </c>
      <c r="AK213" s="778">
        <v>0.41614706409759455</v>
      </c>
      <c r="AL213" s="779">
        <v>157364.48585165048</v>
      </c>
      <c r="AM213" s="777" t="s">
        <v>175</v>
      </c>
      <c r="AN213" s="778">
        <v>0.60138203534635759</v>
      </c>
      <c r="AO213" s="779">
        <v>114656.86521126625</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138023</v>
      </c>
      <c r="F214" s="747"/>
      <c r="G214" s="757"/>
      <c r="H214" s="771">
        <v>11228.568621345197</v>
      </c>
      <c r="I214" s="747"/>
      <c r="J214" s="757"/>
      <c r="K214" s="771">
        <v>9736.4003213985779</v>
      </c>
      <c r="L214" s="747"/>
      <c r="M214" s="757"/>
      <c r="N214" s="771">
        <v>10839.431623746961</v>
      </c>
      <c r="O214" s="747"/>
      <c r="P214" s="757"/>
      <c r="Q214" s="771">
        <v>14414.766996886956</v>
      </c>
      <c r="R214" s="747"/>
      <c r="S214" s="757"/>
      <c r="T214" s="771">
        <v>12567.820151081718</v>
      </c>
      <c r="U214" s="747"/>
      <c r="V214" s="757"/>
      <c r="W214" s="771">
        <v>9744.3257822776013</v>
      </c>
      <c r="X214" s="747"/>
      <c r="Y214" s="757"/>
      <c r="Z214" s="771">
        <v>9556.1841615752273</v>
      </c>
      <c r="AA214" s="747"/>
      <c r="AB214" s="757"/>
      <c r="AC214" s="771">
        <v>9545.5303275157585</v>
      </c>
      <c r="AD214" s="747"/>
      <c r="AE214" s="757"/>
      <c r="AF214" s="771">
        <v>10872.379567878703</v>
      </c>
      <c r="AG214" s="747"/>
      <c r="AH214" s="757"/>
      <c r="AI214" s="771">
        <v>12414.998632541719</v>
      </c>
      <c r="AJ214" s="747"/>
      <c r="AK214" s="757"/>
      <c r="AL214" s="771">
        <v>16629.592755232628</v>
      </c>
      <c r="AM214" s="747"/>
      <c r="AN214" s="757"/>
      <c r="AO214" s="771">
        <v>10473.001058518952</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41066.128839884514</v>
      </c>
      <c r="F215" s="747"/>
      <c r="G215" s="757"/>
      <c r="H215" s="771">
        <v>3422.1774033237093</v>
      </c>
      <c r="I215" s="747"/>
      <c r="J215" s="757"/>
      <c r="K215" s="771">
        <v>3422.1774033237093</v>
      </c>
      <c r="L215" s="747"/>
      <c r="M215" s="757"/>
      <c r="N215" s="771">
        <v>3422.1774033237093</v>
      </c>
      <c r="O215" s="747"/>
      <c r="P215" s="757"/>
      <c r="Q215" s="771">
        <v>3422.1774033237093</v>
      </c>
      <c r="R215" s="747"/>
      <c r="S215" s="757"/>
      <c r="T215" s="771">
        <v>3422.1774033237093</v>
      </c>
      <c r="U215" s="747"/>
      <c r="V215" s="757"/>
      <c r="W215" s="771">
        <v>3422.1774033237093</v>
      </c>
      <c r="X215" s="747"/>
      <c r="Y215" s="757"/>
      <c r="Z215" s="771">
        <v>3422.1774033237093</v>
      </c>
      <c r="AA215" s="747"/>
      <c r="AB215" s="757"/>
      <c r="AC215" s="771">
        <v>3422.1774033237093</v>
      </c>
      <c r="AD215" s="747"/>
      <c r="AE215" s="757"/>
      <c r="AF215" s="771">
        <v>3422.1774033237093</v>
      </c>
      <c r="AG215" s="747"/>
      <c r="AH215" s="757"/>
      <c r="AI215" s="771">
        <v>3422.1774033237093</v>
      </c>
      <c r="AJ215" s="747"/>
      <c r="AK215" s="757"/>
      <c r="AL215" s="771">
        <v>3422.1774033237093</v>
      </c>
      <c r="AM215" s="747"/>
      <c r="AN215" s="757"/>
      <c r="AO215" s="771">
        <v>3422.1774033237093</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157004.8722666667</v>
      </c>
      <c r="F216" s="776"/>
      <c r="G216" s="784"/>
      <c r="H216" s="775">
        <v>11083.739355555555</v>
      </c>
      <c r="I216" s="776"/>
      <c r="J216" s="784"/>
      <c r="K216" s="775">
        <v>11083.739355555555</v>
      </c>
      <c r="L216" s="776"/>
      <c r="M216" s="784"/>
      <c r="N216" s="775">
        <v>14083.739355555555</v>
      </c>
      <c r="O216" s="776"/>
      <c r="P216" s="784"/>
      <c r="Q216" s="775">
        <v>16083.739355555555</v>
      </c>
      <c r="R216" s="776"/>
      <c r="S216" s="784"/>
      <c r="T216" s="775">
        <v>16083.739355555555</v>
      </c>
      <c r="U216" s="776"/>
      <c r="V216" s="784"/>
      <c r="W216" s="775">
        <v>11083.739355555555</v>
      </c>
      <c r="X216" s="776"/>
      <c r="Y216" s="784"/>
      <c r="Z216" s="775">
        <v>11083.739355555555</v>
      </c>
      <c r="AA216" s="776"/>
      <c r="AB216" s="784"/>
      <c r="AC216" s="775">
        <v>11083.739355555555</v>
      </c>
      <c r="AD216" s="776"/>
      <c r="AE216" s="784"/>
      <c r="AF216" s="775">
        <v>11083.739355555555</v>
      </c>
      <c r="AG216" s="776"/>
      <c r="AH216" s="784"/>
      <c r="AI216" s="775">
        <v>14083.739355555555</v>
      </c>
      <c r="AJ216" s="776"/>
      <c r="AK216" s="784"/>
      <c r="AL216" s="775">
        <v>19083.739355555554</v>
      </c>
      <c r="AM216" s="776"/>
      <c r="AN216" s="784"/>
      <c r="AO216" s="775">
        <v>11083.739355555555</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57399.793648640007</v>
      </c>
      <c r="F217" s="747"/>
      <c r="G217" s="757"/>
      <c r="H217" s="771">
        <v>4783.316137386666</v>
      </c>
      <c r="I217" s="747"/>
      <c r="J217" s="757"/>
      <c r="K217" s="771">
        <v>4783.316137386666</v>
      </c>
      <c r="L217" s="747"/>
      <c r="M217" s="757"/>
      <c r="N217" s="771">
        <v>4783.316137386666</v>
      </c>
      <c r="O217" s="747"/>
      <c r="P217" s="757"/>
      <c r="Q217" s="771">
        <v>4783.316137386666</v>
      </c>
      <c r="R217" s="747"/>
      <c r="S217" s="757"/>
      <c r="T217" s="771">
        <v>4783.316137386666</v>
      </c>
      <c r="U217" s="747"/>
      <c r="V217" s="757"/>
      <c r="W217" s="771">
        <v>4783.316137386666</v>
      </c>
      <c r="X217" s="747"/>
      <c r="Y217" s="757"/>
      <c r="Z217" s="771">
        <v>4783.316137386666</v>
      </c>
      <c r="AA217" s="747"/>
      <c r="AB217" s="757"/>
      <c r="AC217" s="771">
        <v>4783.316137386666</v>
      </c>
      <c r="AD217" s="747"/>
      <c r="AE217" s="757"/>
      <c r="AF217" s="771">
        <v>4783.316137386666</v>
      </c>
      <c r="AG217" s="747"/>
      <c r="AH217" s="757"/>
      <c r="AI217" s="771">
        <v>4783.316137386666</v>
      </c>
      <c r="AJ217" s="747"/>
      <c r="AK217" s="757"/>
      <c r="AL217" s="771">
        <v>4783.316137386666</v>
      </c>
      <c r="AM217" s="747"/>
      <c r="AN217" s="757"/>
      <c r="AO217" s="771">
        <v>4783.316137386666</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12610.502167124281</v>
      </c>
      <c r="F218" s="747"/>
      <c r="G218" s="757"/>
      <c r="H218" s="771">
        <v>1050.8751805936904</v>
      </c>
      <c r="I218" s="747"/>
      <c r="J218" s="757"/>
      <c r="K218" s="771">
        <v>1050.8751805936904</v>
      </c>
      <c r="L218" s="747"/>
      <c r="M218" s="757"/>
      <c r="N218" s="771">
        <v>1050.8751805936904</v>
      </c>
      <c r="O218" s="747"/>
      <c r="P218" s="757"/>
      <c r="Q218" s="771">
        <v>1050.8751805936904</v>
      </c>
      <c r="R218" s="747"/>
      <c r="S218" s="757"/>
      <c r="T218" s="771">
        <v>1050.8751805936904</v>
      </c>
      <c r="U218" s="747"/>
      <c r="V218" s="757"/>
      <c r="W218" s="771">
        <v>1050.8751805936904</v>
      </c>
      <c r="X218" s="747"/>
      <c r="Y218" s="757"/>
      <c r="Z218" s="771">
        <v>1050.8751805936904</v>
      </c>
      <c r="AA218" s="747"/>
      <c r="AB218" s="757"/>
      <c r="AC218" s="771">
        <v>1050.8751805936904</v>
      </c>
      <c r="AD218" s="747"/>
      <c r="AE218" s="757"/>
      <c r="AF218" s="771">
        <v>1050.8751805936904</v>
      </c>
      <c r="AG218" s="747"/>
      <c r="AH218" s="757"/>
      <c r="AI218" s="771">
        <v>1050.8751805936904</v>
      </c>
      <c r="AJ218" s="747"/>
      <c r="AK218" s="757"/>
      <c r="AL218" s="771">
        <v>1050.8751805936904</v>
      </c>
      <c r="AM218" s="747"/>
      <c r="AN218" s="757"/>
      <c r="AO218" s="771">
        <v>1050.8751805936904</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153538.78146020445</v>
      </c>
      <c r="F219" s="776"/>
      <c r="G219" s="784"/>
      <c r="H219" s="775">
        <v>11128.231788350371</v>
      </c>
      <c r="I219" s="776"/>
      <c r="J219" s="784"/>
      <c r="K219" s="775">
        <v>11128.231788350371</v>
      </c>
      <c r="L219" s="776"/>
      <c r="M219" s="784"/>
      <c r="N219" s="775">
        <v>11128.231788350371</v>
      </c>
      <c r="O219" s="776"/>
      <c r="P219" s="784"/>
      <c r="Q219" s="775">
        <v>15128.231788350371</v>
      </c>
      <c r="R219" s="776"/>
      <c r="S219" s="784"/>
      <c r="T219" s="775">
        <v>15128.231788350371</v>
      </c>
      <c r="U219" s="776"/>
      <c r="V219" s="784"/>
      <c r="W219" s="775">
        <v>11128.231788350371</v>
      </c>
      <c r="X219" s="776"/>
      <c r="Y219" s="784"/>
      <c r="Z219" s="775">
        <v>11128.231788350371</v>
      </c>
      <c r="AA219" s="776"/>
      <c r="AB219" s="784"/>
      <c r="AC219" s="775">
        <v>15128.231788350371</v>
      </c>
      <c r="AD219" s="776"/>
      <c r="AE219" s="784"/>
      <c r="AF219" s="775">
        <v>11128.231788350371</v>
      </c>
      <c r="AG219" s="776"/>
      <c r="AH219" s="784"/>
      <c r="AI219" s="775">
        <v>15128.231788350371</v>
      </c>
      <c r="AJ219" s="776"/>
      <c r="AK219" s="784"/>
      <c r="AL219" s="775">
        <v>15128.231788350371</v>
      </c>
      <c r="AM219" s="776"/>
      <c r="AN219" s="784"/>
      <c r="AO219" s="775">
        <v>11128.231788350371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57239.045066666695</v>
      </c>
      <c r="F221" s="747"/>
      <c r="G221" s="757"/>
      <c r="H221" s="771">
        <v>4769.9204222222234</v>
      </c>
      <c r="I221" s="747"/>
      <c r="J221" s="757"/>
      <c r="K221" s="771">
        <v>4769.9204222222234</v>
      </c>
      <c r="L221" s="747"/>
      <c r="M221" s="757"/>
      <c r="N221" s="771">
        <v>4769.9204222222234</v>
      </c>
      <c r="O221" s="747"/>
      <c r="P221" s="757"/>
      <c r="Q221" s="771">
        <v>4769.9204222222234</v>
      </c>
      <c r="R221" s="747"/>
      <c r="S221" s="757"/>
      <c r="T221" s="771">
        <v>4769.9204222222234</v>
      </c>
      <c r="U221" s="747"/>
      <c r="V221" s="757"/>
      <c r="W221" s="771">
        <v>4769.9204222222234</v>
      </c>
      <c r="X221" s="747"/>
      <c r="Y221" s="757"/>
      <c r="Z221" s="771">
        <v>4769.9204222222234</v>
      </c>
      <c r="AA221" s="747"/>
      <c r="AB221" s="757"/>
      <c r="AC221" s="771">
        <v>4769.9204222222234</v>
      </c>
      <c r="AD221" s="747"/>
      <c r="AE221" s="757"/>
      <c r="AF221" s="771">
        <v>4769.9204222222234</v>
      </c>
      <c r="AG221" s="747"/>
      <c r="AH221" s="757"/>
      <c r="AI221" s="771">
        <v>4769.9204222222234</v>
      </c>
      <c r="AJ221" s="747"/>
      <c r="AK221" s="757"/>
      <c r="AL221" s="771">
        <v>4769.9204222222234</v>
      </c>
      <c r="AM221" s="747"/>
      <c r="AN221" s="757"/>
      <c r="AO221" s="771">
        <v>4769.9204222222234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14645.584881437009</v>
      </c>
      <c r="F222" s="747"/>
      <c r="G222" s="757"/>
      <c r="H222" s="771">
        <v>1220.4654067864171</v>
      </c>
      <c r="I222" s="747"/>
      <c r="J222" s="757"/>
      <c r="K222" s="771">
        <v>1220.4654067864171</v>
      </c>
      <c r="L222" s="747"/>
      <c r="M222" s="757"/>
      <c r="N222" s="771">
        <v>1220.4654067864171</v>
      </c>
      <c r="O222" s="747"/>
      <c r="P222" s="757"/>
      <c r="Q222" s="771">
        <v>1220.4654067864171</v>
      </c>
      <c r="R222" s="747"/>
      <c r="S222" s="757"/>
      <c r="T222" s="771">
        <v>1220.4654067864171</v>
      </c>
      <c r="U222" s="747"/>
      <c r="V222" s="757"/>
      <c r="W222" s="771">
        <v>1220.4654067864171</v>
      </c>
      <c r="X222" s="747"/>
      <c r="Y222" s="757"/>
      <c r="Z222" s="771">
        <v>1220.4654067864171</v>
      </c>
      <c r="AA222" s="747"/>
      <c r="AB222" s="757"/>
      <c r="AC222" s="771">
        <v>1220.4654067864171</v>
      </c>
      <c r="AD222" s="747"/>
      <c r="AE222" s="757"/>
      <c r="AF222" s="771">
        <v>1220.4654067864171</v>
      </c>
      <c r="AG222" s="747"/>
      <c r="AH222" s="757"/>
      <c r="AI222" s="771">
        <v>1220.4654067864171</v>
      </c>
      <c r="AJ222" s="747"/>
      <c r="AK222" s="757"/>
      <c r="AL222" s="771">
        <v>1220.4654067864171</v>
      </c>
      <c r="AM222" s="747"/>
      <c r="AN222" s="757"/>
      <c r="AO222" s="771">
        <v>1220.4654067864171</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9996.6497970220807</v>
      </c>
      <c r="F223" s="747"/>
      <c r="G223" s="757"/>
      <c r="H223" s="771">
        <v>833.0541497518401</v>
      </c>
      <c r="I223" s="747"/>
      <c r="J223" s="757"/>
      <c r="K223" s="771">
        <v>833.0541497518401</v>
      </c>
      <c r="L223" s="747"/>
      <c r="M223" s="757"/>
      <c r="N223" s="771">
        <v>833.0541497518401</v>
      </c>
      <c r="O223" s="747"/>
      <c r="P223" s="757"/>
      <c r="Q223" s="771">
        <v>833.0541497518401</v>
      </c>
      <c r="R223" s="747"/>
      <c r="S223" s="757"/>
      <c r="T223" s="771">
        <v>833.0541497518401</v>
      </c>
      <c r="U223" s="747"/>
      <c r="V223" s="757"/>
      <c r="W223" s="771">
        <v>833.0541497518401</v>
      </c>
      <c r="X223" s="747"/>
      <c r="Y223" s="757"/>
      <c r="Z223" s="771">
        <v>833.0541497518401</v>
      </c>
      <c r="AA223" s="747"/>
      <c r="AB223" s="757"/>
      <c r="AC223" s="771">
        <v>833.0541497518401</v>
      </c>
      <c r="AD223" s="747"/>
      <c r="AE223" s="757"/>
      <c r="AF223" s="771">
        <v>833.0541497518401</v>
      </c>
      <c r="AG223" s="747"/>
      <c r="AH223" s="757"/>
      <c r="AI223" s="771">
        <v>833.0541497518401</v>
      </c>
      <c r="AJ223" s="747"/>
      <c r="AK223" s="757"/>
      <c r="AL223" s="771">
        <v>833.0541497518401</v>
      </c>
      <c r="AM223" s="747"/>
      <c r="AN223" s="757"/>
      <c r="AO223" s="771">
        <v>833.0541497518401</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2150.4540202618405</v>
      </c>
      <c r="F224" s="747"/>
      <c r="G224" s="757"/>
      <c r="H224" s="771">
        <v>179.20450168848672</v>
      </c>
      <c r="I224" s="747"/>
      <c r="J224" s="757"/>
      <c r="K224" s="771">
        <v>179.20450168848672</v>
      </c>
      <c r="L224" s="747"/>
      <c r="M224" s="757"/>
      <c r="N224" s="771">
        <v>179.20450168848672</v>
      </c>
      <c r="O224" s="747"/>
      <c r="P224" s="757"/>
      <c r="Q224" s="771">
        <v>179.20450168848672</v>
      </c>
      <c r="R224" s="747"/>
      <c r="S224" s="757"/>
      <c r="T224" s="771">
        <v>179.20450168848672</v>
      </c>
      <c r="U224" s="747"/>
      <c r="V224" s="757"/>
      <c r="W224" s="771">
        <v>179.20450168848672</v>
      </c>
      <c r="X224" s="747"/>
      <c r="Y224" s="757"/>
      <c r="Z224" s="771">
        <v>179.20450168848672</v>
      </c>
      <c r="AA224" s="747"/>
      <c r="AB224" s="757"/>
      <c r="AC224" s="771">
        <v>179.20450168848672</v>
      </c>
      <c r="AD224" s="747"/>
      <c r="AE224" s="757"/>
      <c r="AF224" s="771">
        <v>179.20450168848672</v>
      </c>
      <c r="AG224" s="747"/>
      <c r="AH224" s="757"/>
      <c r="AI224" s="771">
        <v>179.20450168848672</v>
      </c>
      <c r="AJ224" s="747"/>
      <c r="AK224" s="757"/>
      <c r="AL224" s="771">
        <v>179.20450168848672</v>
      </c>
      <c r="AM224" s="747"/>
      <c r="AN224" s="757"/>
      <c r="AO224" s="771">
        <v>179.20450168848672</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1113.4868553157601</v>
      </c>
      <c r="F225" s="747"/>
      <c r="G225" s="757"/>
      <c r="H225" s="771">
        <v>92.790571276313315</v>
      </c>
      <c r="I225" s="747"/>
      <c r="J225" s="757"/>
      <c r="K225" s="771">
        <v>92.790571276313315</v>
      </c>
      <c r="L225" s="747"/>
      <c r="M225" s="757"/>
      <c r="N225" s="771">
        <v>92.790571276313315</v>
      </c>
      <c r="O225" s="747"/>
      <c r="P225" s="757"/>
      <c r="Q225" s="771">
        <v>92.790571276313315</v>
      </c>
      <c r="R225" s="747"/>
      <c r="S225" s="757"/>
      <c r="T225" s="771">
        <v>92.790571276313315</v>
      </c>
      <c r="U225" s="747"/>
      <c r="V225" s="757"/>
      <c r="W225" s="771">
        <v>92.790571276313315</v>
      </c>
      <c r="X225" s="747"/>
      <c r="Y225" s="757"/>
      <c r="Z225" s="771">
        <v>92.790571276313315</v>
      </c>
      <c r="AA225" s="747"/>
      <c r="AB225" s="757"/>
      <c r="AC225" s="771">
        <v>92.790571276313315</v>
      </c>
      <c r="AD225" s="747"/>
      <c r="AE225" s="757"/>
      <c r="AF225" s="771">
        <v>92.790571276313315</v>
      </c>
      <c r="AG225" s="747"/>
      <c r="AH225" s="757"/>
      <c r="AI225" s="771">
        <v>92.790571276313315</v>
      </c>
      <c r="AJ225" s="747"/>
      <c r="AK225" s="757"/>
      <c r="AL225" s="771">
        <v>92.790571276313315</v>
      </c>
      <c r="AM225" s="747"/>
      <c r="AN225" s="757"/>
      <c r="AO225" s="771">
        <v>92.790571276313315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1829.4114225114397</v>
      </c>
      <c r="F226" s="747"/>
      <c r="G226" s="757"/>
      <c r="H226" s="771">
        <v>152.45095187595334</v>
      </c>
      <c r="I226" s="747"/>
      <c r="J226" s="757"/>
      <c r="K226" s="771">
        <v>152.45095187595334</v>
      </c>
      <c r="L226" s="747"/>
      <c r="M226" s="757"/>
      <c r="N226" s="771">
        <v>152.45095187595334</v>
      </c>
      <c r="O226" s="747"/>
      <c r="P226" s="757"/>
      <c r="Q226" s="771">
        <v>152.45095187595334</v>
      </c>
      <c r="R226" s="747"/>
      <c r="S226" s="757"/>
      <c r="T226" s="771">
        <v>152.45095187595334</v>
      </c>
      <c r="U226" s="747"/>
      <c r="V226" s="757"/>
      <c r="W226" s="771">
        <v>152.45095187595334</v>
      </c>
      <c r="X226" s="747"/>
      <c r="Y226" s="757"/>
      <c r="Z226" s="771">
        <v>152.45095187595334</v>
      </c>
      <c r="AA226" s="747"/>
      <c r="AB226" s="757"/>
      <c r="AC226" s="771">
        <v>152.45095187595334</v>
      </c>
      <c r="AD226" s="747"/>
      <c r="AE226" s="757"/>
      <c r="AF226" s="771">
        <v>152.45095187595334</v>
      </c>
      <c r="AG226" s="747"/>
      <c r="AH226" s="757"/>
      <c r="AI226" s="771">
        <v>152.45095187595334</v>
      </c>
      <c r="AJ226" s="747"/>
      <c r="AK226" s="757"/>
      <c r="AL226" s="771">
        <v>152.45095187595334</v>
      </c>
      <c r="AM226" s="747"/>
      <c r="AN226" s="757"/>
      <c r="AO226" s="771">
        <v>152.45095187595334</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36798.160786229833</v>
      </c>
      <c r="F227" s="747"/>
      <c r="G227" s="757"/>
      <c r="H227" s="771">
        <v>3066.5133988524863</v>
      </c>
      <c r="I227" s="747"/>
      <c r="J227" s="757"/>
      <c r="K227" s="771">
        <v>3066.5133988524863</v>
      </c>
      <c r="L227" s="747"/>
      <c r="M227" s="757"/>
      <c r="N227" s="771">
        <v>3066.5133988524863</v>
      </c>
      <c r="O227" s="747"/>
      <c r="P227" s="757"/>
      <c r="Q227" s="771">
        <v>3066.5133988524863</v>
      </c>
      <c r="R227" s="747"/>
      <c r="S227" s="757"/>
      <c r="T227" s="771">
        <v>3066.5133988524863</v>
      </c>
      <c r="U227" s="747"/>
      <c r="V227" s="757"/>
      <c r="W227" s="771">
        <v>3066.5133988524863</v>
      </c>
      <c r="X227" s="747"/>
      <c r="Y227" s="757"/>
      <c r="Z227" s="771">
        <v>3066.5133988524863</v>
      </c>
      <c r="AA227" s="747"/>
      <c r="AB227" s="757"/>
      <c r="AC227" s="771">
        <v>3066.5133988524863</v>
      </c>
      <c r="AD227" s="747"/>
      <c r="AE227" s="757"/>
      <c r="AF227" s="771">
        <v>3066.5133988524863</v>
      </c>
      <c r="AG227" s="747"/>
      <c r="AH227" s="757"/>
      <c r="AI227" s="771">
        <v>3066.5133988524863</v>
      </c>
      <c r="AJ227" s="747"/>
      <c r="AK227" s="757"/>
      <c r="AL227" s="771">
        <v>3066.5133988524863</v>
      </c>
      <c r="AM227" s="747"/>
      <c r="AN227" s="757"/>
      <c r="AO227" s="771">
        <v>3066.5133988524863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22449.928263245911</v>
      </c>
      <c r="F228" s="747"/>
      <c r="G228" s="757"/>
      <c r="H228" s="771">
        <v>1464.7774009622808</v>
      </c>
      <c r="I228" s="747"/>
      <c r="J228" s="757"/>
      <c r="K228" s="771">
        <v>1412.3143300449135</v>
      </c>
      <c r="L228" s="747"/>
      <c r="M228" s="757"/>
      <c r="N228" s="771">
        <v>1494.2351851857379</v>
      </c>
      <c r="O228" s="747"/>
      <c r="P228" s="757"/>
      <c r="Q228" s="771">
        <v>1957.9497075888899</v>
      </c>
      <c r="R228" s="747"/>
      <c r="S228" s="757"/>
      <c r="T228" s="771">
        <v>2081.5147954694116</v>
      </c>
      <c r="U228" s="747"/>
      <c r="V228" s="757"/>
      <c r="W228" s="771">
        <v>1939.0455947668659</v>
      </c>
      <c r="X228" s="747"/>
      <c r="Y228" s="757"/>
      <c r="Z228" s="771">
        <v>1895.3289853790277</v>
      </c>
      <c r="AA228" s="747"/>
      <c r="AB228" s="757"/>
      <c r="AC228" s="771">
        <v>2049.8934037645467</v>
      </c>
      <c r="AD228" s="747"/>
      <c r="AE228" s="757"/>
      <c r="AF228" s="771">
        <v>1667.3948849465926</v>
      </c>
      <c r="AG228" s="747"/>
      <c r="AH228" s="757"/>
      <c r="AI228" s="771">
        <v>2251.29363296273</v>
      </c>
      <c r="AJ228" s="747"/>
      <c r="AK228" s="757"/>
      <c r="AL228" s="771">
        <v>2646.6733264660766</v>
      </c>
      <c r="AM228" s="747"/>
      <c r="AN228" s="757"/>
      <c r="AO228" s="771">
        <v>1589.5070157088385</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0.25874029127122722</v>
      </c>
      <c r="E232" s="779">
        <v>705865.79947521072</v>
      </c>
      <c r="F232" s="777" t="s">
        <v>175</v>
      </c>
      <c r="G232" s="778">
        <v>0.34206358709804729</v>
      </c>
      <c r="H232" s="779">
        <v>54476.085289971197</v>
      </c>
      <c r="I232" s="777" t="s">
        <v>175</v>
      </c>
      <c r="J232" s="778">
        <v>0.36135397234399858</v>
      </c>
      <c r="K232" s="779">
        <v>52931.453919107211</v>
      </c>
      <c r="L232" s="777" t="s">
        <v>175</v>
      </c>
      <c r="M232" s="778">
        <v>0.32276922138959563</v>
      </c>
      <c r="N232" s="779">
        <v>57116.406076596417</v>
      </c>
      <c r="O232" s="777" t="s">
        <v>175</v>
      </c>
      <c r="P232" s="778">
        <v>0.23873755359077806</v>
      </c>
      <c r="Q232" s="779">
        <v>67155.455972139564</v>
      </c>
      <c r="R232" s="777" t="s">
        <v>175</v>
      </c>
      <c r="S232" s="778">
        <v>0.23331792391810716</v>
      </c>
      <c r="T232" s="779">
        <v>65432.074214214845</v>
      </c>
      <c r="U232" s="777" t="s">
        <v>175</v>
      </c>
      <c r="V232" s="778">
        <v>0.25660743524551738</v>
      </c>
      <c r="W232" s="779">
        <v>53466.110644708184</v>
      </c>
      <c r="X232" s="777" t="s">
        <v>175</v>
      </c>
      <c r="Y232" s="778">
        <v>0.25028723290372462</v>
      </c>
      <c r="Z232" s="779">
        <v>53234.252414617971</v>
      </c>
      <c r="AA232" s="777" t="s">
        <v>175</v>
      </c>
      <c r="AB232" s="778">
        <v>0.25647511137511309</v>
      </c>
      <c r="AC232" s="779">
        <v>57378.162998944019</v>
      </c>
      <c r="AD232" s="777" t="s">
        <v>175</v>
      </c>
      <c r="AE232" s="778">
        <v>0.28159633862891992</v>
      </c>
      <c r="AF232" s="779">
        <v>54322.51372048902</v>
      </c>
      <c r="AG232" s="777" t="s">
        <v>175</v>
      </c>
      <c r="AH232" s="778">
        <v>0.22891303696604273</v>
      </c>
      <c r="AI232" s="779">
        <v>63449.031533168163</v>
      </c>
      <c r="AJ232" s="777" t="s">
        <v>175</v>
      </c>
      <c r="AK232" s="778">
        <v>0.19320299886906633</v>
      </c>
      <c r="AL232" s="779">
        <v>73059.005349362429</v>
      </c>
      <c r="AM232" s="777" t="s">
        <v>175</v>
      </c>
      <c r="AN232" s="778">
        <v>0.28242150507541469</v>
      </c>
      <c r="AO232" s="779">
        <v>53845.247341891511</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0.81661712438243206</v>
      </c>
      <c r="E234" s="789">
        <v>2227801.8492416106</v>
      </c>
      <c r="F234" s="777" t="s">
        <v>119</v>
      </c>
      <c r="G234" s="815">
        <v>1.11640212534809</v>
      </c>
      <c r="H234" s="789">
        <v>177795.06411167741</v>
      </c>
      <c r="I234" s="777" t="s">
        <v>119</v>
      </c>
      <c r="J234" s="815">
        <v>1.0654868136180431</v>
      </c>
      <c r="K234" s="789">
        <v>156073.46395171428</v>
      </c>
      <c r="L234" s="777" t="s">
        <v>119</v>
      </c>
      <c r="M234" s="815">
        <v>0.93665329543993447</v>
      </c>
      <c r="N234" s="789">
        <v>165747.74306238742</v>
      </c>
      <c r="O234" s="777" t="s">
        <v>119</v>
      </c>
      <c r="P234" s="815">
        <v>0.70864485042860526</v>
      </c>
      <c r="Q234" s="789">
        <v>199337.58781165589</v>
      </c>
      <c r="R234" s="777" t="s">
        <v>119</v>
      </c>
      <c r="S234" s="815">
        <v>0.76567584168683012</v>
      </c>
      <c r="T234" s="789">
        <v>214727.43137757698</v>
      </c>
      <c r="U234" s="777" t="s">
        <v>119</v>
      </c>
      <c r="V234" s="815">
        <v>0.81442881665931888</v>
      </c>
      <c r="W234" s="789">
        <v>169692.43771944277</v>
      </c>
      <c r="X234" s="777" t="s">
        <v>119</v>
      </c>
      <c r="Y234" s="815">
        <v>0.80067114218131097</v>
      </c>
      <c r="Z234" s="789">
        <v>170296.8592903649</v>
      </c>
      <c r="AA234" s="777" t="s">
        <v>119</v>
      </c>
      <c r="AB234" s="815">
        <v>0.86170634895302189</v>
      </c>
      <c r="AC234" s="789">
        <v>192779.43611119964</v>
      </c>
      <c r="AD234" s="777" t="s">
        <v>119</v>
      </c>
      <c r="AE234" s="815">
        <v>0.87017649632823235</v>
      </c>
      <c r="AF234" s="789">
        <v>167865.01873992343</v>
      </c>
      <c r="AG234" s="777" t="s">
        <v>119</v>
      </c>
      <c r="AH234" s="815">
        <v>0.77409939093314506</v>
      </c>
      <c r="AI234" s="789">
        <v>214561.20331149729</v>
      </c>
      <c r="AJ234" s="777" t="s">
        <v>119</v>
      </c>
      <c r="AK234" s="815">
        <v>0.60935006296666094</v>
      </c>
      <c r="AL234" s="789">
        <v>230423.49120101292</v>
      </c>
      <c r="AM234" s="777" t="s">
        <v>119</v>
      </c>
      <c r="AN234" s="815">
        <v>0.88380354042177223</v>
      </c>
      <c r="AO234" s="789">
        <v>168502.11255315776</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500284.27915838966</v>
      </c>
      <c r="F236" s="816"/>
      <c r="G236" s="817"/>
      <c r="H236" s="798">
        <v>-18537.875259370659</v>
      </c>
      <c r="I236" s="816"/>
      <c r="J236" s="817"/>
      <c r="K236" s="798">
        <v>-9592.5671851554362</v>
      </c>
      <c r="L236" s="816"/>
      <c r="M236" s="817"/>
      <c r="N236" s="798">
        <v>11209.66889497696</v>
      </c>
      <c r="O236" s="816"/>
      <c r="P236" s="817"/>
      <c r="Q236" s="798">
        <v>81956.473227652838</v>
      </c>
      <c r="R236" s="816"/>
      <c r="S236" s="817"/>
      <c r="T236" s="798">
        <v>65714.264294209512</v>
      </c>
      <c r="U236" s="816"/>
      <c r="V236" s="817"/>
      <c r="W236" s="798">
        <v>38665.167326384428</v>
      </c>
      <c r="X236" s="816"/>
      <c r="Y236" s="817"/>
      <c r="Z236" s="798">
        <v>42395.781069341465</v>
      </c>
      <c r="AA236" s="816"/>
      <c r="AB236" s="817"/>
      <c r="AC236" s="798">
        <v>30938.813551725267</v>
      </c>
      <c r="AD236" s="816"/>
      <c r="AE236" s="817"/>
      <c r="AF236" s="798">
        <v>25044.143307363585</v>
      </c>
      <c r="AG236" s="816"/>
      <c r="AH236" s="817"/>
      <c r="AI236" s="798">
        <v>62614.06103388936</v>
      </c>
      <c r="AJ236" s="816"/>
      <c r="AK236" s="817"/>
      <c r="AL236" s="798">
        <v>147722.84077634173</v>
      </c>
      <c r="AM236" s="816"/>
      <c r="AN236" s="817"/>
      <c r="AO236" s="798">
        <v>22153.508121030201</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3933</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2025</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600000</v>
      </c>
      <c r="E244" s="758">
        <v>132000</v>
      </c>
      <c r="F244" s="820">
        <v>0</v>
      </c>
      <c r="G244" s="821">
        <v>24000</v>
      </c>
      <c r="H244" s="771">
        <v>5280</v>
      </c>
      <c r="I244" s="820">
        <v>0</v>
      </c>
      <c r="J244" s="821">
        <v>42000.000000000007</v>
      </c>
      <c r="K244" s="771">
        <v>9240.0000000000018</v>
      </c>
      <c r="L244" s="820">
        <v>0</v>
      </c>
      <c r="M244" s="821">
        <v>60000</v>
      </c>
      <c r="N244" s="771">
        <v>13200</v>
      </c>
      <c r="O244" s="820">
        <v>0</v>
      </c>
      <c r="P244" s="821">
        <v>60000</v>
      </c>
      <c r="Q244" s="771">
        <v>13200</v>
      </c>
      <c r="R244" s="820">
        <v>0</v>
      </c>
      <c r="S244" s="821">
        <v>60000</v>
      </c>
      <c r="T244" s="771">
        <v>13200</v>
      </c>
      <c r="U244" s="820">
        <v>0</v>
      </c>
      <c r="V244" s="821">
        <v>66000</v>
      </c>
      <c r="W244" s="771">
        <v>14520</v>
      </c>
      <c r="X244" s="820">
        <v>0</v>
      </c>
      <c r="Y244" s="821">
        <v>48000</v>
      </c>
      <c r="Z244" s="771">
        <v>10560</v>
      </c>
      <c r="AA244" s="820">
        <v>0</v>
      </c>
      <c r="AB244" s="821">
        <v>54000</v>
      </c>
      <c r="AC244" s="771">
        <v>11880</v>
      </c>
      <c r="AD244" s="820">
        <v>0</v>
      </c>
      <c r="AE244" s="821">
        <v>54000</v>
      </c>
      <c r="AF244" s="771">
        <v>11880</v>
      </c>
      <c r="AG244" s="820">
        <v>0</v>
      </c>
      <c r="AH244" s="821">
        <v>54000</v>
      </c>
      <c r="AI244" s="771">
        <v>11880</v>
      </c>
      <c r="AJ244" s="820">
        <v>0</v>
      </c>
      <c r="AK244" s="821">
        <v>48000</v>
      </c>
      <c r="AL244" s="771">
        <v>10560</v>
      </c>
      <c r="AM244" s="820">
        <v>0</v>
      </c>
      <c r="AN244" s="821">
        <v>30000</v>
      </c>
      <c r="AO244" s="771">
        <v>6600</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0.22</v>
      </c>
      <c r="F245" s="819"/>
      <c r="G245" s="757"/>
      <c r="H245" s="822">
        <v>0.22</v>
      </c>
      <c r="I245" s="819"/>
      <c r="J245" s="757"/>
      <c r="K245" s="822">
        <v>0.22</v>
      </c>
      <c r="L245" s="819"/>
      <c r="M245" s="757"/>
      <c r="N245" s="822">
        <v>0.22</v>
      </c>
      <c r="O245" s="819"/>
      <c r="P245" s="757"/>
      <c r="Q245" s="822">
        <v>0.22</v>
      </c>
      <c r="R245" s="819"/>
      <c r="S245" s="757"/>
      <c r="T245" s="822">
        <v>0.22</v>
      </c>
      <c r="U245" s="819"/>
      <c r="V245" s="757"/>
      <c r="W245" s="822">
        <v>0.22</v>
      </c>
      <c r="X245" s="819"/>
      <c r="Y245" s="757"/>
      <c r="Z245" s="822">
        <v>0.22</v>
      </c>
      <c r="AA245" s="819"/>
      <c r="AB245" s="757"/>
      <c r="AC245" s="822">
        <v>0.22</v>
      </c>
      <c r="AD245" s="819"/>
      <c r="AE245" s="757"/>
      <c r="AF245" s="822">
        <v>0.22</v>
      </c>
      <c r="AG245" s="819"/>
      <c r="AH245" s="757"/>
      <c r="AI245" s="822">
        <v>0.22</v>
      </c>
      <c r="AJ245" s="819"/>
      <c r="AK245" s="757"/>
      <c r="AL245" s="822">
        <v>0.22</v>
      </c>
      <c r="AM245" s="819"/>
      <c r="AN245" s="757"/>
      <c r="AO245" s="822">
        <v>0.22</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600000</v>
      </c>
      <c r="E253" s="761">
        <v>132000</v>
      </c>
      <c r="F253" s="759"/>
      <c r="G253" s="850">
        <v>24000</v>
      </c>
      <c r="H253" s="761">
        <v>5280</v>
      </c>
      <c r="I253" s="759"/>
      <c r="J253" s="850">
        <v>42000.000000000007</v>
      </c>
      <c r="K253" s="761">
        <v>9240.0000000000018</v>
      </c>
      <c r="L253" s="759"/>
      <c r="M253" s="850">
        <v>60000</v>
      </c>
      <c r="N253" s="761">
        <v>13200</v>
      </c>
      <c r="O253" s="759"/>
      <c r="P253" s="850">
        <v>60000</v>
      </c>
      <c r="Q253" s="761">
        <v>13200</v>
      </c>
      <c r="R253" s="759"/>
      <c r="S253" s="850">
        <v>60000</v>
      </c>
      <c r="T253" s="761">
        <v>13200</v>
      </c>
      <c r="U253" s="759"/>
      <c r="V253" s="850">
        <v>66000</v>
      </c>
      <c r="W253" s="761">
        <v>14520</v>
      </c>
      <c r="X253" s="759"/>
      <c r="Y253" s="850">
        <v>48000</v>
      </c>
      <c r="Z253" s="761">
        <v>10560</v>
      </c>
      <c r="AA253" s="759"/>
      <c r="AB253" s="850">
        <v>54000</v>
      </c>
      <c r="AC253" s="761">
        <v>11880</v>
      </c>
      <c r="AD253" s="759"/>
      <c r="AE253" s="850">
        <v>54000</v>
      </c>
      <c r="AF253" s="761">
        <v>11880</v>
      </c>
      <c r="AG253" s="759"/>
      <c r="AH253" s="850">
        <v>54000</v>
      </c>
      <c r="AI253" s="761">
        <v>11880</v>
      </c>
      <c r="AJ253" s="759"/>
      <c r="AK253" s="850">
        <v>48000</v>
      </c>
      <c r="AL253" s="761">
        <v>10560</v>
      </c>
      <c r="AM253" s="759"/>
      <c r="AN253" s="850">
        <v>30000</v>
      </c>
      <c r="AO253" s="761">
        <v>6600</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0.22</v>
      </c>
      <c r="F254" s="762"/>
      <c r="G254" s="763"/>
      <c r="H254" s="851">
        <v>0.22</v>
      </c>
      <c r="I254" s="762"/>
      <c r="J254" s="763"/>
      <c r="K254" s="851">
        <v>0.22</v>
      </c>
      <c r="L254" s="762"/>
      <c r="M254" s="763"/>
      <c r="N254" s="851">
        <v>0.22</v>
      </c>
      <c r="O254" s="762"/>
      <c r="P254" s="763"/>
      <c r="Q254" s="851">
        <v>0.22</v>
      </c>
      <c r="R254" s="762"/>
      <c r="S254" s="763"/>
      <c r="T254" s="851">
        <v>0.22</v>
      </c>
      <c r="U254" s="762"/>
      <c r="V254" s="763"/>
      <c r="W254" s="851">
        <v>0.22</v>
      </c>
      <c r="X254" s="762"/>
      <c r="Y254" s="763"/>
      <c r="Z254" s="851">
        <v>0.22</v>
      </c>
      <c r="AA254" s="762"/>
      <c r="AB254" s="763"/>
      <c r="AC254" s="851">
        <v>0.22</v>
      </c>
      <c r="AD254" s="762"/>
      <c r="AE254" s="763"/>
      <c r="AF254" s="851">
        <v>0.22</v>
      </c>
      <c r="AG254" s="762"/>
      <c r="AH254" s="763"/>
      <c r="AI254" s="851">
        <v>0.22</v>
      </c>
      <c r="AJ254" s="762"/>
      <c r="AK254" s="763"/>
      <c r="AL254" s="851">
        <v>0.22</v>
      </c>
      <c r="AM254" s="762"/>
      <c r="AN254" s="763"/>
      <c r="AO254" s="851">
        <v>0.22</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371.65625000000006</v>
      </c>
      <c r="I257" s="747"/>
      <c r="J257" s="757"/>
      <c r="K257" s="771">
        <v>297.32500000000005</v>
      </c>
      <c r="L257" s="747"/>
      <c r="M257" s="757"/>
      <c r="N257" s="771">
        <v>297.32500000000005</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371.65625000000006</v>
      </c>
      <c r="AJ257" s="747"/>
      <c r="AK257" s="757"/>
      <c r="AL257" s="771">
        <v>297.32500000000005</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62491.959999999992</v>
      </c>
      <c r="F258" s="747"/>
      <c r="G258" s="757"/>
      <c r="H258" s="771">
        <v>5927.3807692307682</v>
      </c>
      <c r="I258" s="747"/>
      <c r="J258" s="757"/>
      <c r="K258" s="771">
        <v>4847.8046153846153</v>
      </c>
      <c r="L258" s="747"/>
      <c r="M258" s="757"/>
      <c r="N258" s="771">
        <v>4847.8046153846153</v>
      </c>
      <c r="O258" s="747"/>
      <c r="P258" s="757"/>
      <c r="Q258" s="771">
        <v>4847.8046153846153</v>
      </c>
      <c r="R258" s="747"/>
      <c r="S258" s="757"/>
      <c r="T258" s="771">
        <v>5927.3807692307682</v>
      </c>
      <c r="U258" s="747"/>
      <c r="V258" s="757"/>
      <c r="W258" s="771">
        <v>4847.8046153846153</v>
      </c>
      <c r="X258" s="747"/>
      <c r="Y258" s="757"/>
      <c r="Z258" s="771">
        <v>4847.8046153846153</v>
      </c>
      <c r="AA258" s="747"/>
      <c r="AB258" s="757"/>
      <c r="AC258" s="771">
        <v>5927.3807692307682</v>
      </c>
      <c r="AD258" s="747"/>
      <c r="AE258" s="757"/>
      <c r="AF258" s="771">
        <v>4847.8046153846153</v>
      </c>
      <c r="AG258" s="747"/>
      <c r="AH258" s="757"/>
      <c r="AI258" s="771">
        <v>5927.3807692307682</v>
      </c>
      <c r="AJ258" s="747"/>
      <c r="AK258" s="757"/>
      <c r="AL258" s="771">
        <v>4847.8046153846153</v>
      </c>
      <c r="AM258" s="747"/>
      <c r="AN258" s="757"/>
      <c r="AO258" s="771">
        <v>4847.8046153846153</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21.91346153846154</v>
      </c>
      <c r="I259" s="780"/>
      <c r="J259" s="781"/>
      <c r="K259" s="783">
        <v>17.530769230769231</v>
      </c>
      <c r="L259" s="780"/>
      <c r="M259" s="781"/>
      <c r="N259" s="783">
        <v>17.530769230769231</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21.91346153846154</v>
      </c>
      <c r="AJ259" s="780"/>
      <c r="AK259" s="781"/>
      <c r="AL259" s="783">
        <v>17.530769230769231</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7997.5033974999978</v>
      </c>
      <c r="F264" s="747"/>
      <c r="G264" s="757"/>
      <c r="H264" s="771">
        <v>759.74482668269218</v>
      </c>
      <c r="I264" s="747"/>
      <c r="J264" s="757"/>
      <c r="K264" s="771">
        <v>619.8155113461537</v>
      </c>
      <c r="L264" s="747"/>
      <c r="M264" s="757"/>
      <c r="N264" s="771">
        <v>619.8155113461537</v>
      </c>
      <c r="O264" s="747"/>
      <c r="P264" s="757"/>
      <c r="Q264" s="771">
        <v>619.8155113461537</v>
      </c>
      <c r="R264" s="747"/>
      <c r="S264" s="757"/>
      <c r="T264" s="771">
        <v>759.74482668269218</v>
      </c>
      <c r="U264" s="747"/>
      <c r="V264" s="757"/>
      <c r="W264" s="771">
        <v>619.8155113461537</v>
      </c>
      <c r="X264" s="747"/>
      <c r="Y264" s="757"/>
      <c r="Z264" s="771">
        <v>619.8155113461537</v>
      </c>
      <c r="AA264" s="747"/>
      <c r="AB264" s="757"/>
      <c r="AC264" s="771">
        <v>759.74482668269218</v>
      </c>
      <c r="AD264" s="747"/>
      <c r="AE264" s="757"/>
      <c r="AF264" s="771">
        <v>619.8155113461537</v>
      </c>
      <c r="AG264" s="747"/>
      <c r="AH264" s="757"/>
      <c r="AI264" s="771">
        <v>759.74482668269218</v>
      </c>
      <c r="AJ264" s="747"/>
      <c r="AK264" s="757"/>
      <c r="AL264" s="771">
        <v>619.8155113461537</v>
      </c>
      <c r="AM264" s="747"/>
      <c r="AN264" s="757"/>
      <c r="AO264" s="771">
        <v>619.8155113461537</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9723.8367300000009</v>
      </c>
      <c r="F265" s="780"/>
      <c r="G265" s="781"/>
      <c r="H265" s="783">
        <v>923.7426086538461</v>
      </c>
      <c r="I265" s="780"/>
      <c r="J265" s="781"/>
      <c r="K265" s="783">
        <v>753.60828692307689</v>
      </c>
      <c r="L265" s="780"/>
      <c r="M265" s="781"/>
      <c r="N265" s="783">
        <v>753.60828692307689</v>
      </c>
      <c r="O265" s="780"/>
      <c r="P265" s="781"/>
      <c r="Q265" s="783">
        <v>753.60828692307689</v>
      </c>
      <c r="R265" s="780"/>
      <c r="S265" s="781"/>
      <c r="T265" s="783">
        <v>923.7426086538461</v>
      </c>
      <c r="U265" s="780"/>
      <c r="V265" s="781"/>
      <c r="W265" s="783">
        <v>753.60828692307689</v>
      </c>
      <c r="X265" s="780"/>
      <c r="Y265" s="781"/>
      <c r="Z265" s="783">
        <v>753.60828692307689</v>
      </c>
      <c r="AA265" s="780"/>
      <c r="AB265" s="781"/>
      <c r="AC265" s="783">
        <v>923.7426086538461</v>
      </c>
      <c r="AD265" s="780"/>
      <c r="AE265" s="781"/>
      <c r="AF265" s="783">
        <v>753.60828692307689</v>
      </c>
      <c r="AG265" s="780"/>
      <c r="AH265" s="781"/>
      <c r="AI265" s="783">
        <v>923.7426086538461</v>
      </c>
      <c r="AJ265" s="780"/>
      <c r="AK265" s="781"/>
      <c r="AL265" s="783">
        <v>753.60828692307689</v>
      </c>
      <c r="AM265" s="780"/>
      <c r="AN265" s="781"/>
      <c r="AO265" s="783">
        <v>753.60828692307689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5009.8897934999986</v>
      </c>
      <c r="F266" s="747"/>
      <c r="G266" s="757"/>
      <c r="H266" s="771">
        <v>475.92825706730758</v>
      </c>
      <c r="I266" s="747"/>
      <c r="J266" s="757"/>
      <c r="K266" s="771">
        <v>388.27209565384607</v>
      </c>
      <c r="L266" s="747"/>
      <c r="M266" s="757"/>
      <c r="N266" s="771">
        <v>388.27209565384607</v>
      </c>
      <c r="O266" s="747"/>
      <c r="P266" s="757"/>
      <c r="Q266" s="771">
        <v>388.27209565384607</v>
      </c>
      <c r="R266" s="747"/>
      <c r="S266" s="757"/>
      <c r="T266" s="771">
        <v>475.92825706730758</v>
      </c>
      <c r="U266" s="747"/>
      <c r="V266" s="757"/>
      <c r="W266" s="771">
        <v>388.27209565384607</v>
      </c>
      <c r="X266" s="747"/>
      <c r="Y266" s="757"/>
      <c r="Z266" s="771">
        <v>388.27209565384607</v>
      </c>
      <c r="AA266" s="747"/>
      <c r="AB266" s="757"/>
      <c r="AC266" s="771">
        <v>475.92825706730758</v>
      </c>
      <c r="AD266" s="747"/>
      <c r="AE266" s="757"/>
      <c r="AF266" s="771">
        <v>388.27209565384607</v>
      </c>
      <c r="AG266" s="747"/>
      <c r="AH266" s="757"/>
      <c r="AI266" s="771">
        <v>475.92825706730758</v>
      </c>
      <c r="AJ266" s="747"/>
      <c r="AK266" s="757"/>
      <c r="AL266" s="771">
        <v>388.27209565384607</v>
      </c>
      <c r="AM266" s="747"/>
      <c r="AN266" s="757"/>
      <c r="AO266" s="771">
        <v>388.27209565384607</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2184.3401349999995</v>
      </c>
      <c r="F267" s="747"/>
      <c r="G267" s="757"/>
      <c r="H267" s="771">
        <v>207.50739759615382</v>
      </c>
      <c r="I267" s="747"/>
      <c r="J267" s="757"/>
      <c r="K267" s="771">
        <v>169.28881807692304</v>
      </c>
      <c r="L267" s="747"/>
      <c r="M267" s="757"/>
      <c r="N267" s="771">
        <v>169.28881807692304</v>
      </c>
      <c r="O267" s="747"/>
      <c r="P267" s="757"/>
      <c r="Q267" s="771">
        <v>169.28881807692304</v>
      </c>
      <c r="R267" s="747"/>
      <c r="S267" s="757"/>
      <c r="T267" s="771">
        <v>207.50739759615382</v>
      </c>
      <c r="U267" s="747"/>
      <c r="V267" s="757"/>
      <c r="W267" s="771">
        <v>169.28881807692304</v>
      </c>
      <c r="X267" s="747"/>
      <c r="Y267" s="757"/>
      <c r="Z267" s="771">
        <v>169.28881807692304</v>
      </c>
      <c r="AA267" s="747"/>
      <c r="AB267" s="757"/>
      <c r="AC267" s="771">
        <v>207.50739759615382</v>
      </c>
      <c r="AD267" s="747"/>
      <c r="AE267" s="757"/>
      <c r="AF267" s="771">
        <v>169.28881807692304</v>
      </c>
      <c r="AG267" s="747"/>
      <c r="AH267" s="757"/>
      <c r="AI267" s="771">
        <v>207.50739759615382</v>
      </c>
      <c r="AJ267" s="747"/>
      <c r="AK267" s="757"/>
      <c r="AL267" s="771">
        <v>169.28881807692304</v>
      </c>
      <c r="AM267" s="747"/>
      <c r="AN267" s="757"/>
      <c r="AO267" s="771">
        <v>169.28881807692304</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91500.655055999989</v>
      </c>
      <c r="F269" s="777" t="s">
        <v>119</v>
      </c>
      <c r="G269" s="778">
        <v>0</v>
      </c>
      <c r="H269" s="779">
        <v>8687.8735707692285</v>
      </c>
      <c r="I269" s="777" t="s">
        <v>119</v>
      </c>
      <c r="J269" s="778">
        <v>0</v>
      </c>
      <c r="K269" s="779">
        <v>7093.6450966153834</v>
      </c>
      <c r="L269" s="777" t="s">
        <v>119</v>
      </c>
      <c r="M269" s="778">
        <v>0</v>
      </c>
      <c r="N269" s="779">
        <v>7093.6450966153834</v>
      </c>
      <c r="O269" s="777" t="s">
        <v>119</v>
      </c>
      <c r="P269" s="778">
        <v>0</v>
      </c>
      <c r="Q269" s="779">
        <v>7093.6450966153834</v>
      </c>
      <c r="R269" s="777" t="s">
        <v>119</v>
      </c>
      <c r="S269" s="778">
        <v>0</v>
      </c>
      <c r="T269" s="779">
        <v>8687.8735707692285</v>
      </c>
      <c r="U269" s="777" t="s">
        <v>119</v>
      </c>
      <c r="V269" s="778">
        <v>0</v>
      </c>
      <c r="W269" s="779">
        <v>7093.6450966153834</v>
      </c>
      <c r="X269" s="777" t="s">
        <v>119</v>
      </c>
      <c r="Y269" s="778">
        <v>0</v>
      </c>
      <c r="Z269" s="779">
        <v>7093.6450966153834</v>
      </c>
      <c r="AA269" s="777" t="s">
        <v>119</v>
      </c>
      <c r="AB269" s="778">
        <v>0</v>
      </c>
      <c r="AC269" s="779">
        <v>8687.8735707692285</v>
      </c>
      <c r="AD269" s="777" t="s">
        <v>119</v>
      </c>
      <c r="AE269" s="778">
        <v>0</v>
      </c>
      <c r="AF269" s="779">
        <v>7093.6450966153834</v>
      </c>
      <c r="AG269" s="777" t="s">
        <v>119</v>
      </c>
      <c r="AH269" s="778">
        <v>0</v>
      </c>
      <c r="AI269" s="779">
        <v>8687.8735707692285</v>
      </c>
      <c r="AJ269" s="777" t="s">
        <v>119</v>
      </c>
      <c r="AK269" s="778">
        <v>0</v>
      </c>
      <c r="AL269" s="779">
        <v>7093.6450966153834</v>
      </c>
      <c r="AM269" s="777" t="s">
        <v>119</v>
      </c>
      <c r="AN269" s="778">
        <v>0</v>
      </c>
      <c r="AO269" s="779">
        <v>7093.6450966153834</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580</v>
      </c>
      <c r="F270" s="747"/>
      <c r="G270" s="757"/>
      <c r="H270" s="771">
        <v>48.333333333333336</v>
      </c>
      <c r="I270" s="747"/>
      <c r="J270" s="757"/>
      <c r="K270" s="771">
        <v>48.333333333333336</v>
      </c>
      <c r="L270" s="747"/>
      <c r="M270" s="757"/>
      <c r="N270" s="771">
        <v>48.333333333333336</v>
      </c>
      <c r="O270" s="747"/>
      <c r="P270" s="757"/>
      <c r="Q270" s="771">
        <v>48.333333333333336</v>
      </c>
      <c r="R270" s="747"/>
      <c r="S270" s="757"/>
      <c r="T270" s="771">
        <v>48.333333333333336</v>
      </c>
      <c r="U270" s="747"/>
      <c r="V270" s="757"/>
      <c r="W270" s="771">
        <v>48.333333333333336</v>
      </c>
      <c r="X270" s="747"/>
      <c r="Y270" s="757"/>
      <c r="Z270" s="771">
        <v>48.333333333333336</v>
      </c>
      <c r="AA270" s="747"/>
      <c r="AB270" s="757"/>
      <c r="AC270" s="771">
        <v>48.333333333333336</v>
      </c>
      <c r="AD270" s="747"/>
      <c r="AE270" s="757"/>
      <c r="AF270" s="771">
        <v>48.333333333333336</v>
      </c>
      <c r="AG270" s="747"/>
      <c r="AH270" s="757"/>
      <c r="AI270" s="771">
        <v>48.333333333333336</v>
      </c>
      <c r="AJ270" s="747"/>
      <c r="AK270" s="757"/>
      <c r="AL270" s="771">
        <v>48.333333333333336</v>
      </c>
      <c r="AM270" s="747"/>
      <c r="AN270" s="757"/>
      <c r="AO270" s="771">
        <v>48.333333333333336</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6740.1357753668517</v>
      </c>
      <c r="F271" s="747"/>
      <c r="G271" s="757"/>
      <c r="H271" s="771">
        <v>561.67798128057109</v>
      </c>
      <c r="I271" s="747"/>
      <c r="J271" s="757"/>
      <c r="K271" s="771">
        <v>561.67798128057109</v>
      </c>
      <c r="L271" s="747"/>
      <c r="M271" s="757"/>
      <c r="N271" s="771">
        <v>561.67798128057109</v>
      </c>
      <c r="O271" s="747"/>
      <c r="P271" s="757"/>
      <c r="Q271" s="771">
        <v>561.67798128057109</v>
      </c>
      <c r="R271" s="747"/>
      <c r="S271" s="757"/>
      <c r="T271" s="771">
        <v>561.67798128057109</v>
      </c>
      <c r="U271" s="747"/>
      <c r="V271" s="757"/>
      <c r="W271" s="771">
        <v>561.67798128057109</v>
      </c>
      <c r="X271" s="747"/>
      <c r="Y271" s="757"/>
      <c r="Z271" s="771">
        <v>561.67798128057109</v>
      </c>
      <c r="AA271" s="747"/>
      <c r="AB271" s="757"/>
      <c r="AC271" s="771">
        <v>561.67798128057109</v>
      </c>
      <c r="AD271" s="747"/>
      <c r="AE271" s="757"/>
      <c r="AF271" s="771">
        <v>561.67798128057109</v>
      </c>
      <c r="AG271" s="747"/>
      <c r="AH271" s="757"/>
      <c r="AI271" s="771">
        <v>561.67798128057109</v>
      </c>
      <c r="AJ271" s="747"/>
      <c r="AK271" s="757"/>
      <c r="AL271" s="771">
        <v>561.67798128057109</v>
      </c>
      <c r="AM271" s="747"/>
      <c r="AN271" s="757"/>
      <c r="AO271" s="771">
        <v>561.67798128057109</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1494.0432000000001</v>
      </c>
      <c r="F272" s="776"/>
      <c r="G272" s="784"/>
      <c r="H272" s="775">
        <v>124.50360000000001</v>
      </c>
      <c r="I272" s="776"/>
      <c r="J272" s="784"/>
      <c r="K272" s="775">
        <v>124.50360000000001</v>
      </c>
      <c r="L272" s="776"/>
      <c r="M272" s="784"/>
      <c r="N272" s="775">
        <v>124.50360000000001</v>
      </c>
      <c r="O272" s="776"/>
      <c r="P272" s="784"/>
      <c r="Q272" s="775">
        <v>124.50360000000001</v>
      </c>
      <c r="R272" s="776"/>
      <c r="S272" s="784"/>
      <c r="T272" s="775">
        <v>124.50360000000001</v>
      </c>
      <c r="U272" s="776"/>
      <c r="V272" s="784"/>
      <c r="W272" s="775">
        <v>124.50360000000001</v>
      </c>
      <c r="X272" s="776"/>
      <c r="Y272" s="784"/>
      <c r="Z272" s="775">
        <v>124.50360000000001</v>
      </c>
      <c r="AA272" s="776"/>
      <c r="AB272" s="784"/>
      <c r="AC272" s="775">
        <v>124.50360000000001</v>
      </c>
      <c r="AD272" s="776"/>
      <c r="AE272" s="784"/>
      <c r="AF272" s="775">
        <v>124.50360000000001</v>
      </c>
      <c r="AG272" s="776"/>
      <c r="AH272" s="784"/>
      <c r="AI272" s="775">
        <v>124.50360000000001</v>
      </c>
      <c r="AJ272" s="776"/>
      <c r="AK272" s="784"/>
      <c r="AL272" s="775">
        <v>124.50360000000001</v>
      </c>
      <c r="AM272" s="776"/>
      <c r="AN272" s="784"/>
      <c r="AO272" s="775">
        <v>124.50360000000001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17405.122634853331</v>
      </c>
      <c r="F273" s="747"/>
      <c r="G273" s="757"/>
      <c r="H273" s="771">
        <v>1450.4268862377776</v>
      </c>
      <c r="I273" s="747"/>
      <c r="J273" s="757"/>
      <c r="K273" s="771">
        <v>1450.4268862377776</v>
      </c>
      <c r="L273" s="747"/>
      <c r="M273" s="757"/>
      <c r="N273" s="771">
        <v>1450.4268862377776</v>
      </c>
      <c r="O273" s="747"/>
      <c r="P273" s="757"/>
      <c r="Q273" s="771">
        <v>1450.4268862377776</v>
      </c>
      <c r="R273" s="747"/>
      <c r="S273" s="757"/>
      <c r="T273" s="771">
        <v>1450.4268862377776</v>
      </c>
      <c r="U273" s="747"/>
      <c r="V273" s="757"/>
      <c r="W273" s="771">
        <v>1450.4268862377776</v>
      </c>
      <c r="X273" s="747"/>
      <c r="Y273" s="757"/>
      <c r="Z273" s="771">
        <v>1450.4268862377776</v>
      </c>
      <c r="AA273" s="747"/>
      <c r="AB273" s="757"/>
      <c r="AC273" s="771">
        <v>1450.4268862377776</v>
      </c>
      <c r="AD273" s="747"/>
      <c r="AE273" s="757"/>
      <c r="AF273" s="771">
        <v>1450.4268862377776</v>
      </c>
      <c r="AG273" s="747"/>
      <c r="AH273" s="757"/>
      <c r="AI273" s="771">
        <v>1450.4268862377776</v>
      </c>
      <c r="AJ273" s="747"/>
      <c r="AK273" s="757"/>
      <c r="AL273" s="771">
        <v>1450.4268862377776</v>
      </c>
      <c r="AM273" s="747"/>
      <c r="AN273" s="757"/>
      <c r="AO273" s="771">
        <v>1450.4268862377776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2568.4588605429835</v>
      </c>
      <c r="F274" s="747"/>
      <c r="G274" s="757"/>
      <c r="H274" s="771">
        <v>214.03823837858201</v>
      </c>
      <c r="I274" s="747"/>
      <c r="J274" s="757"/>
      <c r="K274" s="771">
        <v>214.03823837858201</v>
      </c>
      <c r="L274" s="747"/>
      <c r="M274" s="757"/>
      <c r="N274" s="771">
        <v>214.03823837858201</v>
      </c>
      <c r="O274" s="747"/>
      <c r="P274" s="757"/>
      <c r="Q274" s="771">
        <v>214.03823837858201</v>
      </c>
      <c r="R274" s="747"/>
      <c r="S274" s="757"/>
      <c r="T274" s="771">
        <v>214.03823837858201</v>
      </c>
      <c r="U274" s="747"/>
      <c r="V274" s="757"/>
      <c r="W274" s="771">
        <v>214.03823837858201</v>
      </c>
      <c r="X274" s="747"/>
      <c r="Y274" s="757"/>
      <c r="Z274" s="771">
        <v>214.03823837858201</v>
      </c>
      <c r="AA274" s="747"/>
      <c r="AB274" s="757"/>
      <c r="AC274" s="771">
        <v>214.03823837858201</v>
      </c>
      <c r="AD274" s="747"/>
      <c r="AE274" s="757"/>
      <c r="AF274" s="771">
        <v>214.03823837858201</v>
      </c>
      <c r="AG274" s="747"/>
      <c r="AH274" s="757"/>
      <c r="AI274" s="771">
        <v>214.03823837858201</v>
      </c>
      <c r="AJ274" s="747"/>
      <c r="AK274" s="757"/>
      <c r="AL274" s="771">
        <v>214.03823837858201</v>
      </c>
      <c r="AM274" s="747"/>
      <c r="AN274" s="757"/>
      <c r="AO274" s="771">
        <v>214.03823837858201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8245.7609322297685</v>
      </c>
      <c r="F275" s="776"/>
      <c r="G275" s="784"/>
      <c r="H275" s="775">
        <v>687.14674435248071</v>
      </c>
      <c r="I275" s="776"/>
      <c r="J275" s="784"/>
      <c r="K275" s="775">
        <v>687.14674435248071</v>
      </c>
      <c r="L275" s="776"/>
      <c r="M275" s="784"/>
      <c r="N275" s="775">
        <v>687.14674435248071</v>
      </c>
      <c r="O275" s="776"/>
      <c r="P275" s="784"/>
      <c r="Q275" s="775">
        <v>687.14674435248071</v>
      </c>
      <c r="R275" s="776"/>
      <c r="S275" s="784"/>
      <c r="T275" s="775">
        <v>687.14674435248071</v>
      </c>
      <c r="U275" s="776"/>
      <c r="V275" s="784"/>
      <c r="W275" s="775">
        <v>687.14674435248071</v>
      </c>
      <c r="X275" s="776"/>
      <c r="Y275" s="784"/>
      <c r="Z275" s="775">
        <v>687.14674435248071</v>
      </c>
      <c r="AA275" s="776"/>
      <c r="AB275" s="784"/>
      <c r="AC275" s="775">
        <v>687.14674435248071</v>
      </c>
      <c r="AD275" s="776"/>
      <c r="AE275" s="784"/>
      <c r="AF275" s="775">
        <v>687.14674435248071</v>
      </c>
      <c r="AG275" s="776"/>
      <c r="AH275" s="784"/>
      <c r="AI275" s="775">
        <v>687.14674435248071</v>
      </c>
      <c r="AJ275" s="776"/>
      <c r="AK275" s="784"/>
      <c r="AL275" s="775">
        <v>687.14674435248071</v>
      </c>
      <c r="AM275" s="776"/>
      <c r="AN275" s="784"/>
      <c r="AO275" s="775">
        <v>687.14674435248071</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551.41839999999991</v>
      </c>
      <c r="F277" s="747"/>
      <c r="G277" s="757"/>
      <c r="H277" s="771">
        <v>45.951533333333337</v>
      </c>
      <c r="I277" s="747"/>
      <c r="J277" s="757"/>
      <c r="K277" s="771">
        <v>45.951533333333337</v>
      </c>
      <c r="L277" s="747"/>
      <c r="M277" s="757"/>
      <c r="N277" s="771">
        <v>45.951533333333337</v>
      </c>
      <c r="O277" s="747"/>
      <c r="P277" s="757"/>
      <c r="Q277" s="771">
        <v>45.951533333333337</v>
      </c>
      <c r="R277" s="747"/>
      <c r="S277" s="757"/>
      <c r="T277" s="771">
        <v>45.951533333333337</v>
      </c>
      <c r="U277" s="747"/>
      <c r="V277" s="757"/>
      <c r="W277" s="771">
        <v>45.951533333333337</v>
      </c>
      <c r="X277" s="747"/>
      <c r="Y277" s="757"/>
      <c r="Z277" s="771">
        <v>45.951533333333337</v>
      </c>
      <c r="AA277" s="747"/>
      <c r="AB277" s="757"/>
      <c r="AC277" s="771">
        <v>45.951533333333337</v>
      </c>
      <c r="AD277" s="747"/>
      <c r="AE277" s="757"/>
      <c r="AF277" s="771">
        <v>45.951533333333337</v>
      </c>
      <c r="AG277" s="747"/>
      <c r="AH277" s="757"/>
      <c r="AI277" s="771">
        <v>45.951533333333337</v>
      </c>
      <c r="AJ277" s="747"/>
      <c r="AK277" s="757"/>
      <c r="AL277" s="771">
        <v>45.951533333333337</v>
      </c>
      <c r="AM277" s="747"/>
      <c r="AN277" s="757"/>
      <c r="AO277" s="771">
        <v>45.951533333333337</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340</v>
      </c>
      <c r="F278" s="747"/>
      <c r="G278" s="757"/>
      <c r="H278" s="771">
        <v>28.333333333333332</v>
      </c>
      <c r="I278" s="747"/>
      <c r="J278" s="757"/>
      <c r="K278" s="771">
        <v>28.333333333333332</v>
      </c>
      <c r="L278" s="747"/>
      <c r="M278" s="757"/>
      <c r="N278" s="771">
        <v>28.333333333333332</v>
      </c>
      <c r="O278" s="747"/>
      <c r="P278" s="757"/>
      <c r="Q278" s="771">
        <v>28.333333333333332</v>
      </c>
      <c r="R278" s="747"/>
      <c r="S278" s="757"/>
      <c r="T278" s="771">
        <v>28.333333333333332</v>
      </c>
      <c r="U278" s="747"/>
      <c r="V278" s="757"/>
      <c r="W278" s="771">
        <v>28.333333333333332</v>
      </c>
      <c r="X278" s="747"/>
      <c r="Y278" s="757"/>
      <c r="Z278" s="771">
        <v>28.333333333333332</v>
      </c>
      <c r="AA278" s="747"/>
      <c r="AB278" s="757"/>
      <c r="AC278" s="771">
        <v>28.333333333333332</v>
      </c>
      <c r="AD278" s="747"/>
      <c r="AE278" s="757"/>
      <c r="AF278" s="771">
        <v>28.333333333333332</v>
      </c>
      <c r="AG278" s="747"/>
      <c r="AH278" s="757"/>
      <c r="AI278" s="771">
        <v>28.333333333333332</v>
      </c>
      <c r="AJ278" s="747"/>
      <c r="AK278" s="757"/>
      <c r="AL278" s="771">
        <v>28.333333333333332</v>
      </c>
      <c r="AM278" s="747"/>
      <c r="AN278" s="757"/>
      <c r="AO278" s="771">
        <v>28.333333333333332</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1754.8427646314394</v>
      </c>
      <c r="F279" s="747"/>
      <c r="G279" s="757"/>
      <c r="H279" s="771">
        <v>146.23689705261995</v>
      </c>
      <c r="I279" s="747"/>
      <c r="J279" s="757"/>
      <c r="K279" s="771">
        <v>146.23689705261995</v>
      </c>
      <c r="L279" s="747"/>
      <c r="M279" s="757"/>
      <c r="N279" s="771">
        <v>146.23689705261995</v>
      </c>
      <c r="O279" s="747"/>
      <c r="P279" s="757"/>
      <c r="Q279" s="771">
        <v>146.23689705261995</v>
      </c>
      <c r="R279" s="747"/>
      <c r="S279" s="757"/>
      <c r="T279" s="771">
        <v>146.23689705261995</v>
      </c>
      <c r="U279" s="747"/>
      <c r="V279" s="757"/>
      <c r="W279" s="771">
        <v>146.23689705261995</v>
      </c>
      <c r="X279" s="747"/>
      <c r="Y279" s="757"/>
      <c r="Z279" s="771">
        <v>146.23689705261995</v>
      </c>
      <c r="AA279" s="747"/>
      <c r="AB279" s="757"/>
      <c r="AC279" s="771">
        <v>146.23689705261995</v>
      </c>
      <c r="AD279" s="747"/>
      <c r="AE279" s="757"/>
      <c r="AF279" s="771">
        <v>146.23689705261995</v>
      </c>
      <c r="AG279" s="747"/>
      <c r="AH279" s="757"/>
      <c r="AI279" s="771">
        <v>146.23689705261995</v>
      </c>
      <c r="AJ279" s="747"/>
      <c r="AK279" s="757"/>
      <c r="AL279" s="771">
        <v>146.23689705261995</v>
      </c>
      <c r="AM279" s="747"/>
      <c r="AN279" s="757"/>
      <c r="AO279" s="771">
        <v>146.23689705261995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388.42770390970333</v>
      </c>
      <c r="F280" s="747"/>
      <c r="G280" s="757"/>
      <c r="H280" s="771">
        <v>32.368975325808613</v>
      </c>
      <c r="I280" s="747"/>
      <c r="J280" s="757"/>
      <c r="K280" s="771">
        <v>32.368975325808613</v>
      </c>
      <c r="L280" s="747"/>
      <c r="M280" s="757"/>
      <c r="N280" s="771">
        <v>32.368975325808613</v>
      </c>
      <c r="O280" s="747"/>
      <c r="P280" s="757"/>
      <c r="Q280" s="771">
        <v>32.368975325808613</v>
      </c>
      <c r="R280" s="747"/>
      <c r="S280" s="757"/>
      <c r="T280" s="771">
        <v>32.368975325808613</v>
      </c>
      <c r="U280" s="747"/>
      <c r="V280" s="757"/>
      <c r="W280" s="771">
        <v>32.368975325808613</v>
      </c>
      <c r="X280" s="747"/>
      <c r="Y280" s="757"/>
      <c r="Z280" s="771">
        <v>32.368975325808613</v>
      </c>
      <c r="AA280" s="747"/>
      <c r="AB280" s="757"/>
      <c r="AC280" s="771">
        <v>32.368975325808613</v>
      </c>
      <c r="AD280" s="747"/>
      <c r="AE280" s="757"/>
      <c r="AF280" s="771">
        <v>32.368975325808613</v>
      </c>
      <c r="AG280" s="747"/>
      <c r="AH280" s="757"/>
      <c r="AI280" s="771">
        <v>32.368975325808613</v>
      </c>
      <c r="AJ280" s="747"/>
      <c r="AK280" s="757"/>
      <c r="AL280" s="771">
        <v>32.368975325808613</v>
      </c>
      <c r="AM280" s="747"/>
      <c r="AN280" s="757"/>
      <c r="AO280" s="771">
        <v>32.368975325808613</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269.90518596709677</v>
      </c>
      <c r="F281" s="747"/>
      <c r="G281" s="757"/>
      <c r="H281" s="771">
        <v>22.492098830591392</v>
      </c>
      <c r="I281" s="747"/>
      <c r="J281" s="757"/>
      <c r="K281" s="771">
        <v>22.492098830591392</v>
      </c>
      <c r="L281" s="747"/>
      <c r="M281" s="757"/>
      <c r="N281" s="771">
        <v>22.492098830591392</v>
      </c>
      <c r="O281" s="747"/>
      <c r="P281" s="757"/>
      <c r="Q281" s="771">
        <v>22.492098830591392</v>
      </c>
      <c r="R281" s="747"/>
      <c r="S281" s="757"/>
      <c r="T281" s="771">
        <v>22.492098830591392</v>
      </c>
      <c r="U281" s="747"/>
      <c r="V281" s="757"/>
      <c r="W281" s="771">
        <v>22.492098830591392</v>
      </c>
      <c r="X281" s="747"/>
      <c r="Y281" s="757"/>
      <c r="Z281" s="771">
        <v>22.492098830591392</v>
      </c>
      <c r="AA281" s="747"/>
      <c r="AB281" s="757"/>
      <c r="AC281" s="771">
        <v>22.492098830591392</v>
      </c>
      <c r="AD281" s="747"/>
      <c r="AE281" s="757"/>
      <c r="AF281" s="771">
        <v>22.492098830591392</v>
      </c>
      <c r="AG281" s="747"/>
      <c r="AH281" s="757"/>
      <c r="AI281" s="771">
        <v>22.492098830591392</v>
      </c>
      <c r="AJ281" s="747"/>
      <c r="AK281" s="757"/>
      <c r="AL281" s="771">
        <v>22.492098830591392</v>
      </c>
      <c r="AM281" s="747"/>
      <c r="AN281" s="757"/>
      <c r="AO281" s="771">
        <v>22.492098830591392</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1234.8608100658366</v>
      </c>
      <c r="F282" s="747"/>
      <c r="G282" s="757"/>
      <c r="H282" s="771">
        <v>102.90506750548639</v>
      </c>
      <c r="I282" s="747"/>
      <c r="J282" s="757"/>
      <c r="K282" s="771">
        <v>102.90506750548639</v>
      </c>
      <c r="L282" s="747"/>
      <c r="M282" s="757"/>
      <c r="N282" s="771">
        <v>102.90506750548639</v>
      </c>
      <c r="O282" s="747"/>
      <c r="P282" s="757"/>
      <c r="Q282" s="771">
        <v>102.90506750548639</v>
      </c>
      <c r="R282" s="747"/>
      <c r="S282" s="757"/>
      <c r="T282" s="771">
        <v>102.90506750548639</v>
      </c>
      <c r="U282" s="747"/>
      <c r="V282" s="757"/>
      <c r="W282" s="771">
        <v>102.90506750548639</v>
      </c>
      <c r="X282" s="747"/>
      <c r="Y282" s="757"/>
      <c r="Z282" s="771">
        <v>102.90506750548639</v>
      </c>
      <c r="AA282" s="747"/>
      <c r="AB282" s="757"/>
      <c r="AC282" s="771">
        <v>102.90506750548639</v>
      </c>
      <c r="AD282" s="747"/>
      <c r="AE282" s="757"/>
      <c r="AF282" s="771">
        <v>102.90506750548639</v>
      </c>
      <c r="AG282" s="747"/>
      <c r="AH282" s="757"/>
      <c r="AI282" s="771">
        <v>102.90506750548639</v>
      </c>
      <c r="AJ282" s="747"/>
      <c r="AK282" s="757"/>
      <c r="AL282" s="771">
        <v>102.90506750548639</v>
      </c>
      <c r="AM282" s="747"/>
      <c r="AN282" s="757"/>
      <c r="AO282" s="771">
        <v>102.90506750548639</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2105.9844214437908</v>
      </c>
      <c r="F283" s="747"/>
      <c r="G283" s="757"/>
      <c r="H283" s="771">
        <v>175.49870178698256</v>
      </c>
      <c r="I283" s="747"/>
      <c r="J283" s="757"/>
      <c r="K283" s="771">
        <v>175.49870178698256</v>
      </c>
      <c r="L283" s="747"/>
      <c r="M283" s="757"/>
      <c r="N283" s="771">
        <v>175.49870178698256</v>
      </c>
      <c r="O283" s="747"/>
      <c r="P283" s="757"/>
      <c r="Q283" s="771">
        <v>175.49870178698256</v>
      </c>
      <c r="R283" s="747"/>
      <c r="S283" s="757"/>
      <c r="T283" s="771">
        <v>175.49870178698256</v>
      </c>
      <c r="U283" s="747"/>
      <c r="V283" s="757"/>
      <c r="W283" s="771">
        <v>175.49870178698256</v>
      </c>
      <c r="X283" s="747"/>
      <c r="Y283" s="757"/>
      <c r="Z283" s="771">
        <v>175.49870178698256</v>
      </c>
      <c r="AA283" s="747"/>
      <c r="AB283" s="757"/>
      <c r="AC283" s="771">
        <v>175.49870178698256</v>
      </c>
      <c r="AD283" s="747"/>
      <c r="AE283" s="757"/>
      <c r="AF283" s="771">
        <v>175.49870178698256</v>
      </c>
      <c r="AG283" s="747"/>
      <c r="AH283" s="757"/>
      <c r="AI283" s="771">
        <v>175.49870178698256</v>
      </c>
      <c r="AJ283" s="747"/>
      <c r="AK283" s="757"/>
      <c r="AL283" s="771">
        <v>175.49870178698256</v>
      </c>
      <c r="AM283" s="747"/>
      <c r="AN283" s="757"/>
      <c r="AO283" s="771">
        <v>175.49870178698256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2448.0878784962492</v>
      </c>
      <c r="F284" s="747"/>
      <c r="G284" s="757"/>
      <c r="H284" s="771">
        <v>159.72896474068884</v>
      </c>
      <c r="I284" s="747"/>
      <c r="J284" s="757"/>
      <c r="K284" s="771">
        <v>154.00804632725394</v>
      </c>
      <c r="L284" s="747"/>
      <c r="M284" s="757"/>
      <c r="N284" s="771">
        <v>162.94123533858055</v>
      </c>
      <c r="O284" s="747"/>
      <c r="P284" s="757"/>
      <c r="Q284" s="771">
        <v>213.50771769284086</v>
      </c>
      <c r="R284" s="747"/>
      <c r="S284" s="757"/>
      <c r="T284" s="771">
        <v>226.98206782432285</v>
      </c>
      <c r="U284" s="747"/>
      <c r="V284" s="757"/>
      <c r="W284" s="771">
        <v>211.44628885838492</v>
      </c>
      <c r="X284" s="747"/>
      <c r="Y284" s="757"/>
      <c r="Z284" s="771">
        <v>206.67914215411085</v>
      </c>
      <c r="AA284" s="747"/>
      <c r="AB284" s="757"/>
      <c r="AC284" s="771">
        <v>223.53386323203486</v>
      </c>
      <c r="AD284" s="747"/>
      <c r="AE284" s="757"/>
      <c r="AF284" s="771">
        <v>181.82370823817581</v>
      </c>
      <c r="AG284" s="747"/>
      <c r="AH284" s="757"/>
      <c r="AI284" s="771">
        <v>245.49586925918246</v>
      </c>
      <c r="AJ284" s="747"/>
      <c r="AK284" s="757"/>
      <c r="AL284" s="771">
        <v>288.61067228747322</v>
      </c>
      <c r="AM284" s="747"/>
      <c r="AN284" s="757"/>
      <c r="AO284" s="771">
        <v>173.33030254320019</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46127.048567507052</v>
      </c>
      <c r="F288" s="790" t="s">
        <v>119</v>
      </c>
      <c r="G288" s="791">
        <v>0</v>
      </c>
      <c r="H288" s="792">
        <v>3799.6423554915891</v>
      </c>
      <c r="I288" s="790" t="s">
        <v>119</v>
      </c>
      <c r="J288" s="791">
        <v>0</v>
      </c>
      <c r="K288" s="792">
        <v>3793.9214370781542</v>
      </c>
      <c r="L288" s="790" t="s">
        <v>119</v>
      </c>
      <c r="M288" s="791">
        <v>0</v>
      </c>
      <c r="N288" s="792">
        <v>3802.8546260894809</v>
      </c>
      <c r="O288" s="790" t="s">
        <v>119</v>
      </c>
      <c r="P288" s="791">
        <v>0</v>
      </c>
      <c r="Q288" s="792">
        <v>3853.4211084437411</v>
      </c>
      <c r="R288" s="790" t="s">
        <v>119</v>
      </c>
      <c r="S288" s="791">
        <v>0</v>
      </c>
      <c r="T288" s="792">
        <v>3866.8954585752231</v>
      </c>
      <c r="U288" s="790" t="s">
        <v>119</v>
      </c>
      <c r="V288" s="791">
        <v>0</v>
      </c>
      <c r="W288" s="792">
        <v>3851.3596796092852</v>
      </c>
      <c r="X288" s="790" t="s">
        <v>119</v>
      </c>
      <c r="Y288" s="791">
        <v>0</v>
      </c>
      <c r="Z288" s="792">
        <v>3846.592532905011</v>
      </c>
      <c r="AA288" s="790" t="s">
        <v>119</v>
      </c>
      <c r="AB288" s="791">
        <v>0</v>
      </c>
      <c r="AC288" s="792">
        <v>3863.4472539829353</v>
      </c>
      <c r="AD288" s="790" t="s">
        <v>119</v>
      </c>
      <c r="AE288" s="791">
        <v>0</v>
      </c>
      <c r="AF288" s="792">
        <v>3821.737098989076</v>
      </c>
      <c r="AG288" s="790" t="s">
        <v>119</v>
      </c>
      <c r="AH288" s="791">
        <v>0</v>
      </c>
      <c r="AI288" s="792">
        <v>3885.409260010083</v>
      </c>
      <c r="AJ288" s="790" t="s">
        <v>119</v>
      </c>
      <c r="AK288" s="791">
        <v>0</v>
      </c>
      <c r="AL288" s="792">
        <v>3928.5240630383737</v>
      </c>
      <c r="AM288" s="790" t="s">
        <v>119</v>
      </c>
      <c r="AN288" s="791">
        <v>0</v>
      </c>
      <c r="AO288" s="792">
        <v>3813.2436932941005</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137627.70362350706</v>
      </c>
      <c r="F290" s="777" t="s">
        <v>119</v>
      </c>
      <c r="G290" s="815">
        <v>0</v>
      </c>
      <c r="H290" s="789">
        <v>12487.515926260818</v>
      </c>
      <c r="I290" s="777" t="s">
        <v>119</v>
      </c>
      <c r="J290" s="815">
        <v>0</v>
      </c>
      <c r="K290" s="789">
        <v>10887.566533693538</v>
      </c>
      <c r="L290" s="777" t="s">
        <v>119</v>
      </c>
      <c r="M290" s="815">
        <v>0</v>
      </c>
      <c r="N290" s="789">
        <v>10896.499722704864</v>
      </c>
      <c r="O290" s="777" t="s">
        <v>119</v>
      </c>
      <c r="P290" s="815">
        <v>0</v>
      </c>
      <c r="Q290" s="789">
        <v>10947.066205059124</v>
      </c>
      <c r="R290" s="777" t="s">
        <v>119</v>
      </c>
      <c r="S290" s="815">
        <v>0</v>
      </c>
      <c r="T290" s="789">
        <v>12554.769029344452</v>
      </c>
      <c r="U290" s="777" t="s">
        <v>119</v>
      </c>
      <c r="V290" s="815">
        <v>0</v>
      </c>
      <c r="W290" s="789">
        <v>10945.004776224669</v>
      </c>
      <c r="X290" s="777" t="s">
        <v>119</v>
      </c>
      <c r="Y290" s="815">
        <v>0</v>
      </c>
      <c r="Z290" s="789">
        <v>10940.237629520394</v>
      </c>
      <c r="AA290" s="777" t="s">
        <v>119</v>
      </c>
      <c r="AB290" s="815">
        <v>0</v>
      </c>
      <c r="AC290" s="789">
        <v>12551.320824752163</v>
      </c>
      <c r="AD290" s="777" t="s">
        <v>119</v>
      </c>
      <c r="AE290" s="815">
        <v>0</v>
      </c>
      <c r="AF290" s="789">
        <v>10915.382195604459</v>
      </c>
      <c r="AG290" s="777" t="s">
        <v>119</v>
      </c>
      <c r="AH290" s="815">
        <v>0</v>
      </c>
      <c r="AI290" s="789">
        <v>12573.282830779312</v>
      </c>
      <c r="AJ290" s="777" t="s">
        <v>119</v>
      </c>
      <c r="AK290" s="815">
        <v>0</v>
      </c>
      <c r="AL290" s="789">
        <v>11022.169159653757</v>
      </c>
      <c r="AM290" s="777" t="s">
        <v>119</v>
      </c>
      <c r="AN290" s="815">
        <v>0</v>
      </c>
      <c r="AO290" s="789">
        <v>10906.888789909484</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-5627.7036235070555</v>
      </c>
      <c r="F292" s="816"/>
      <c r="G292" s="817"/>
      <c r="H292" s="798">
        <v>-7207.5159262608177</v>
      </c>
      <c r="I292" s="816"/>
      <c r="J292" s="817"/>
      <c r="K292" s="798">
        <v>-1647.5665336935363</v>
      </c>
      <c r="L292" s="816"/>
      <c r="M292" s="817"/>
      <c r="N292" s="798">
        <v>2303.5002772951357</v>
      </c>
      <c r="O292" s="816"/>
      <c r="P292" s="817"/>
      <c r="Q292" s="798">
        <v>2252.9337949408764</v>
      </c>
      <c r="R292" s="816"/>
      <c r="S292" s="817"/>
      <c r="T292" s="798">
        <v>645.23097065554794</v>
      </c>
      <c r="U292" s="816"/>
      <c r="V292" s="817"/>
      <c r="W292" s="798">
        <v>3574.9952237753314</v>
      </c>
      <c r="X292" s="816"/>
      <c r="Y292" s="817"/>
      <c r="Z292" s="798">
        <v>-380.23762952039397</v>
      </c>
      <c r="AA292" s="816"/>
      <c r="AB292" s="817"/>
      <c r="AC292" s="798">
        <v>-671.32082475216339</v>
      </c>
      <c r="AD292" s="816"/>
      <c r="AE292" s="817"/>
      <c r="AF292" s="798">
        <v>964.61780439554059</v>
      </c>
      <c r="AG292" s="816"/>
      <c r="AH292" s="817"/>
      <c r="AI292" s="798">
        <v>-693.28283077931155</v>
      </c>
      <c r="AJ292" s="816"/>
      <c r="AK292" s="817"/>
      <c r="AL292" s="798">
        <v>-462.16915965375665</v>
      </c>
      <c r="AM292" s="816"/>
      <c r="AN292" s="817"/>
      <c r="AO292" s="798">
        <v>-4306.8887899094843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3933</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2025</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1158559.112</v>
      </c>
      <c r="D298" s="813">
        <v>0.35699999999999998</v>
      </c>
      <c r="E298" s="758">
        <v>413605.602984</v>
      </c>
      <c r="F298" s="820">
        <v>63720.75116</v>
      </c>
      <c r="G298" s="813">
        <v>0.35699999999999998</v>
      </c>
      <c r="H298" s="771">
        <v>22748.308164120001</v>
      </c>
      <c r="I298" s="820">
        <v>56769.396487999998</v>
      </c>
      <c r="J298" s="813">
        <v>0.35699999999999998</v>
      </c>
      <c r="K298" s="771">
        <v>20266.674546216</v>
      </c>
      <c r="L298" s="820">
        <v>69513.546719999998</v>
      </c>
      <c r="M298" s="813">
        <v>0.35699999999999998</v>
      </c>
      <c r="N298" s="771">
        <v>24816.336179039998</v>
      </c>
      <c r="O298" s="820">
        <v>126282.943208</v>
      </c>
      <c r="P298" s="813">
        <v>0.35699999999999998</v>
      </c>
      <c r="Q298" s="771">
        <v>45083.010725255997</v>
      </c>
      <c r="R298" s="820">
        <v>123965.82498399999</v>
      </c>
      <c r="S298" s="813">
        <v>0.35699999999999998</v>
      </c>
      <c r="T298" s="771">
        <v>44255.799519287997</v>
      </c>
      <c r="U298" s="820">
        <v>81099.13784000001</v>
      </c>
      <c r="V298" s="813">
        <v>0.35699999999999998</v>
      </c>
      <c r="W298" s="771">
        <v>28952.392208880003</v>
      </c>
      <c r="X298" s="820">
        <v>81099.13784000001</v>
      </c>
      <c r="Y298" s="813">
        <v>0.35699999999999998</v>
      </c>
      <c r="Z298" s="771">
        <v>28952.392208880003</v>
      </c>
      <c r="AA298" s="820">
        <v>81099.13784000001</v>
      </c>
      <c r="AB298" s="813">
        <v>0.35699999999999998</v>
      </c>
      <c r="AC298" s="771">
        <v>28952.392208880003</v>
      </c>
      <c r="AD298" s="820">
        <v>75306.342279999997</v>
      </c>
      <c r="AE298" s="813">
        <v>0.35699999999999998</v>
      </c>
      <c r="AF298" s="771">
        <v>26884.364193959998</v>
      </c>
      <c r="AG298" s="820">
        <v>127441.50232</v>
      </c>
      <c r="AH298" s="813">
        <v>0.35699999999999998</v>
      </c>
      <c r="AI298" s="771">
        <v>45496.616328240001</v>
      </c>
      <c r="AJ298" s="820">
        <v>185369.45791999999</v>
      </c>
      <c r="AK298" s="813">
        <v>0.35699999999999998</v>
      </c>
      <c r="AL298" s="771">
        <v>66176.896477439994</v>
      </c>
      <c r="AM298" s="820">
        <v>86891.933399999994</v>
      </c>
      <c r="AN298" s="813">
        <v>0.35699999999999998</v>
      </c>
      <c r="AO298" s="771">
        <v>31020.420223799996</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360000</v>
      </c>
      <c r="D299" s="813">
        <v>0.248</v>
      </c>
      <c r="E299" s="758">
        <v>89280</v>
      </c>
      <c r="F299" s="820">
        <v>14400</v>
      </c>
      <c r="G299" s="813">
        <v>0.248</v>
      </c>
      <c r="H299" s="771">
        <v>3571.2</v>
      </c>
      <c r="I299" s="820">
        <v>25200.000000000004</v>
      </c>
      <c r="J299" s="813">
        <v>0.24800000000000003</v>
      </c>
      <c r="K299" s="771">
        <v>6249.6000000000013</v>
      </c>
      <c r="L299" s="820">
        <v>36000</v>
      </c>
      <c r="M299" s="813">
        <v>0.248</v>
      </c>
      <c r="N299" s="771">
        <v>8928</v>
      </c>
      <c r="O299" s="820">
        <v>36000</v>
      </c>
      <c r="P299" s="813">
        <v>0.248</v>
      </c>
      <c r="Q299" s="771">
        <v>8928</v>
      </c>
      <c r="R299" s="820">
        <v>36000</v>
      </c>
      <c r="S299" s="813">
        <v>0.248</v>
      </c>
      <c r="T299" s="771">
        <v>8928</v>
      </c>
      <c r="U299" s="820">
        <v>39600</v>
      </c>
      <c r="V299" s="813">
        <v>0.24799999999999997</v>
      </c>
      <c r="W299" s="771">
        <v>9820.7999999999993</v>
      </c>
      <c r="X299" s="820">
        <v>28800</v>
      </c>
      <c r="Y299" s="813">
        <v>0.248</v>
      </c>
      <c r="Z299" s="771">
        <v>7142.4</v>
      </c>
      <c r="AA299" s="820">
        <v>32400</v>
      </c>
      <c r="AB299" s="813">
        <v>0.248</v>
      </c>
      <c r="AC299" s="771">
        <v>8035.2</v>
      </c>
      <c r="AD299" s="820">
        <v>32400</v>
      </c>
      <c r="AE299" s="813">
        <v>0.248</v>
      </c>
      <c r="AF299" s="771">
        <v>8035.2</v>
      </c>
      <c r="AG299" s="820">
        <v>32400</v>
      </c>
      <c r="AH299" s="813">
        <v>0.248</v>
      </c>
      <c r="AI299" s="771">
        <v>8035.2</v>
      </c>
      <c r="AJ299" s="820">
        <v>28800</v>
      </c>
      <c r="AK299" s="813">
        <v>0.248</v>
      </c>
      <c r="AL299" s="771">
        <v>7142.4</v>
      </c>
      <c r="AM299" s="820">
        <v>18000</v>
      </c>
      <c r="AN299" s="813">
        <v>0.248</v>
      </c>
      <c r="AO299" s="771">
        <v>4464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558232.5</v>
      </c>
      <c r="D300" s="813">
        <v>0.23700000000000002</v>
      </c>
      <c r="E300" s="758">
        <v>132301.10250000001</v>
      </c>
      <c r="F300" s="820">
        <v>44658.6</v>
      </c>
      <c r="G300" s="813">
        <v>0.23699999999999996</v>
      </c>
      <c r="H300" s="771">
        <v>10584.088199999998</v>
      </c>
      <c r="I300" s="820">
        <v>32377.485000000001</v>
      </c>
      <c r="J300" s="813">
        <v>0.23699999999999999</v>
      </c>
      <c r="K300" s="771">
        <v>7673.4639449999995</v>
      </c>
      <c r="L300" s="820">
        <v>24562.23</v>
      </c>
      <c r="M300" s="813">
        <v>0.23699999999999999</v>
      </c>
      <c r="N300" s="771">
        <v>5821.2485099999994</v>
      </c>
      <c r="O300" s="820">
        <v>33493.949999999997</v>
      </c>
      <c r="P300" s="813">
        <v>0.23699999999999999</v>
      </c>
      <c r="Q300" s="771">
        <v>7938.0661499999987</v>
      </c>
      <c r="R300" s="820">
        <v>50240.924999999996</v>
      </c>
      <c r="S300" s="813">
        <v>0.23699999999999999</v>
      </c>
      <c r="T300" s="771">
        <v>11907.099224999998</v>
      </c>
      <c r="U300" s="820">
        <v>51915.622499999998</v>
      </c>
      <c r="V300" s="813">
        <v>0.23699999999999999</v>
      </c>
      <c r="W300" s="771">
        <v>12304.002532499999</v>
      </c>
      <c r="X300" s="820">
        <v>60847.342499999999</v>
      </c>
      <c r="Y300" s="813">
        <v>0.23700000000000002</v>
      </c>
      <c r="Z300" s="771">
        <v>14420.8201725</v>
      </c>
      <c r="AA300" s="820">
        <v>61405.574999999997</v>
      </c>
      <c r="AB300" s="813">
        <v>0.23699999999999996</v>
      </c>
      <c r="AC300" s="771">
        <v>14553.121274999998</v>
      </c>
      <c r="AD300" s="820">
        <v>58614.412499999999</v>
      </c>
      <c r="AE300" s="813">
        <v>0.23699999999999999</v>
      </c>
      <c r="AF300" s="771">
        <v>13891.6157625</v>
      </c>
      <c r="AG300" s="820">
        <v>60847.342499999999</v>
      </c>
      <c r="AH300" s="813">
        <v>0.23700000000000002</v>
      </c>
      <c r="AI300" s="771">
        <v>14420.8201725</v>
      </c>
      <c r="AJ300" s="820">
        <v>46333.297500000001</v>
      </c>
      <c r="AK300" s="813">
        <v>0.23699999999999999</v>
      </c>
      <c r="AL300" s="771">
        <v>10980.991507499999</v>
      </c>
      <c r="AM300" s="820">
        <v>32935.717499999999</v>
      </c>
      <c r="AN300" s="813">
        <v>0.23699999999999999</v>
      </c>
      <c r="AO300" s="771">
        <v>7805.7650474999991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726102.29999999993</v>
      </c>
      <c r="D301" s="813">
        <v>0.29399999999999998</v>
      </c>
      <c r="E301" s="758">
        <v>213474.07619999998</v>
      </c>
      <c r="F301" s="820">
        <v>47196.6495</v>
      </c>
      <c r="G301" s="813">
        <v>0.29399999999999998</v>
      </c>
      <c r="H301" s="771">
        <v>13875.814952999999</v>
      </c>
      <c r="I301" s="820">
        <v>49374.956399999995</v>
      </c>
      <c r="J301" s="813">
        <v>0.29399999999999998</v>
      </c>
      <c r="K301" s="771">
        <v>14516.237181599998</v>
      </c>
      <c r="L301" s="820">
        <v>54457.672499999993</v>
      </c>
      <c r="M301" s="813">
        <v>0.29399999999999998</v>
      </c>
      <c r="N301" s="771">
        <v>16010.555714999997</v>
      </c>
      <c r="O301" s="820">
        <v>54457.672499999993</v>
      </c>
      <c r="P301" s="813">
        <v>0.29399999999999998</v>
      </c>
      <c r="Q301" s="771">
        <v>16010.555714999997</v>
      </c>
      <c r="R301" s="820">
        <v>55909.877099999991</v>
      </c>
      <c r="S301" s="813">
        <v>0.29399999999999998</v>
      </c>
      <c r="T301" s="771">
        <v>16437.503867399995</v>
      </c>
      <c r="U301" s="820">
        <v>65349.206999999995</v>
      </c>
      <c r="V301" s="813">
        <v>0.29399999999999998</v>
      </c>
      <c r="W301" s="771">
        <v>19212.666857999997</v>
      </c>
      <c r="X301" s="820">
        <v>65349.206999999995</v>
      </c>
      <c r="Y301" s="813">
        <v>0.29399999999999998</v>
      </c>
      <c r="Z301" s="771">
        <v>19212.666857999997</v>
      </c>
      <c r="AA301" s="820">
        <v>79871.252999999997</v>
      </c>
      <c r="AB301" s="813">
        <v>0.29399999999999998</v>
      </c>
      <c r="AC301" s="771">
        <v>23482.148381999999</v>
      </c>
      <c r="AD301" s="820">
        <v>58088.183999999994</v>
      </c>
      <c r="AE301" s="813">
        <v>0.29399999999999993</v>
      </c>
      <c r="AF301" s="771">
        <v>17077.926095999996</v>
      </c>
      <c r="AG301" s="820">
        <v>65349.206999999995</v>
      </c>
      <c r="AH301" s="813">
        <v>0.29399999999999998</v>
      </c>
      <c r="AI301" s="771">
        <v>19212.666857999997</v>
      </c>
      <c r="AJ301" s="820">
        <v>79871.252999999997</v>
      </c>
      <c r="AK301" s="813">
        <v>0.29399999999999998</v>
      </c>
      <c r="AL301" s="771">
        <v>23482.148381999999</v>
      </c>
      <c r="AM301" s="820">
        <v>50827.161</v>
      </c>
      <c r="AN301" s="813">
        <v>0.29399999999999998</v>
      </c>
      <c r="AO301" s="771">
        <v>14943.185334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242014</v>
      </c>
      <c r="D302" s="813">
        <v>0.27699999999999997</v>
      </c>
      <c r="E302" s="758">
        <v>67037.877999999997</v>
      </c>
      <c r="F302" s="820">
        <v>14762.853999999999</v>
      </c>
      <c r="G302" s="813">
        <v>0.27700000000000002</v>
      </c>
      <c r="H302" s="771">
        <v>4089.3105580000001</v>
      </c>
      <c r="I302" s="820">
        <v>16940.980000000003</v>
      </c>
      <c r="J302" s="813">
        <v>0.27700000000000002</v>
      </c>
      <c r="K302" s="771">
        <v>4692.651460000001</v>
      </c>
      <c r="L302" s="820">
        <v>14520.84</v>
      </c>
      <c r="M302" s="813">
        <v>0.27700000000000002</v>
      </c>
      <c r="N302" s="771">
        <v>4022.2726800000005</v>
      </c>
      <c r="O302" s="820">
        <v>23233.344000000001</v>
      </c>
      <c r="P302" s="813">
        <v>0.27700000000000002</v>
      </c>
      <c r="Q302" s="771">
        <v>6435.6362880000006</v>
      </c>
      <c r="R302" s="820">
        <v>22507.302</v>
      </c>
      <c r="S302" s="813">
        <v>0.27700000000000002</v>
      </c>
      <c r="T302" s="771">
        <v>6234.5226540000003</v>
      </c>
      <c r="U302" s="820">
        <v>19119.106</v>
      </c>
      <c r="V302" s="813">
        <v>0.27700000000000002</v>
      </c>
      <c r="W302" s="771">
        <v>5295.992362</v>
      </c>
      <c r="X302" s="820">
        <v>17909.036</v>
      </c>
      <c r="Y302" s="813">
        <v>0.27700000000000002</v>
      </c>
      <c r="Z302" s="771">
        <v>4960.8029720000004</v>
      </c>
      <c r="AA302" s="820">
        <v>23233.344000000001</v>
      </c>
      <c r="AB302" s="813">
        <v>0.27700000000000002</v>
      </c>
      <c r="AC302" s="771">
        <v>6435.6362880000006</v>
      </c>
      <c r="AD302" s="820">
        <v>21055.217999999997</v>
      </c>
      <c r="AE302" s="813">
        <v>0.27700000000000002</v>
      </c>
      <c r="AF302" s="771">
        <v>5832.2953859999998</v>
      </c>
      <c r="AG302" s="820">
        <v>21055.217999999997</v>
      </c>
      <c r="AH302" s="813">
        <v>0.27700000000000002</v>
      </c>
      <c r="AI302" s="771">
        <v>5832.2953859999998</v>
      </c>
      <c r="AJ302" s="820">
        <v>34123.973999999995</v>
      </c>
      <c r="AK302" s="813">
        <v>0.27700000000000002</v>
      </c>
      <c r="AL302" s="771">
        <v>9452.3407979999993</v>
      </c>
      <c r="AM302" s="820">
        <v>13552.784</v>
      </c>
      <c r="AN302" s="813">
        <v>0.27700000000000002</v>
      </c>
      <c r="AO302" s="771">
        <v>3754.1211680000001</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1997966.9999999998</v>
      </c>
      <c r="D303" s="813">
        <v>0.13500000000000004</v>
      </c>
      <c r="E303" s="758">
        <v>269725.54500000004</v>
      </c>
      <c r="F303" s="820">
        <v>181814.997</v>
      </c>
      <c r="G303" s="813">
        <v>0.13500000000000001</v>
      </c>
      <c r="H303" s="771">
        <v>24545.024595000003</v>
      </c>
      <c r="I303" s="820">
        <v>149847.52499999999</v>
      </c>
      <c r="J303" s="813">
        <v>0.13500000000000001</v>
      </c>
      <c r="K303" s="771">
        <v>20229.415874999999</v>
      </c>
      <c r="L303" s="820">
        <v>133863.78900000002</v>
      </c>
      <c r="M303" s="813">
        <v>0.13500000000000001</v>
      </c>
      <c r="N303" s="771">
        <v>18071.611515000004</v>
      </c>
      <c r="O303" s="820">
        <v>181814.997</v>
      </c>
      <c r="P303" s="813">
        <v>0.13500000000000001</v>
      </c>
      <c r="Q303" s="771">
        <v>24545.024595000003</v>
      </c>
      <c r="R303" s="820">
        <v>153843.459</v>
      </c>
      <c r="S303" s="813">
        <v>0.13500000000000001</v>
      </c>
      <c r="T303" s="771">
        <v>20768.866965000001</v>
      </c>
      <c r="U303" s="820">
        <v>141855.65699999998</v>
      </c>
      <c r="V303" s="813">
        <v>0.13500000000000001</v>
      </c>
      <c r="W303" s="771">
        <v>19150.513694999998</v>
      </c>
      <c r="X303" s="820">
        <v>153843.459</v>
      </c>
      <c r="Y303" s="813">
        <v>0.13500000000000001</v>
      </c>
      <c r="Z303" s="771">
        <v>20768.866965000001</v>
      </c>
      <c r="AA303" s="820">
        <v>165831.261</v>
      </c>
      <c r="AB303" s="813">
        <v>0.13500000000000001</v>
      </c>
      <c r="AC303" s="771">
        <v>22387.220235000001</v>
      </c>
      <c r="AD303" s="820">
        <v>169827.19500000001</v>
      </c>
      <c r="AE303" s="813">
        <v>0.13500000000000001</v>
      </c>
      <c r="AF303" s="771">
        <v>22926.671325000003</v>
      </c>
      <c r="AG303" s="820">
        <v>219776.37</v>
      </c>
      <c r="AH303" s="813">
        <v>0.13500000000000001</v>
      </c>
      <c r="AI303" s="771">
        <v>29669.809950000003</v>
      </c>
      <c r="AJ303" s="820">
        <v>165831.261</v>
      </c>
      <c r="AK303" s="813">
        <v>0.13500000000000001</v>
      </c>
      <c r="AL303" s="771">
        <v>22387.220235000001</v>
      </c>
      <c r="AM303" s="820">
        <v>179817.03</v>
      </c>
      <c r="AN303" s="813">
        <v>0.13500000000000001</v>
      </c>
      <c r="AO303" s="771">
        <v>24275.299050000001</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129290.05033304002</v>
      </c>
      <c r="F305" s="820">
        <v>0</v>
      </c>
      <c r="G305" s="813">
        <v>0</v>
      </c>
      <c r="H305" s="771">
        <v>9397.7674953066689</v>
      </c>
      <c r="I305" s="820">
        <v>0</v>
      </c>
      <c r="J305" s="813">
        <v>0</v>
      </c>
      <c r="K305" s="771">
        <v>8473.6781326650998</v>
      </c>
      <c r="L305" s="820">
        <v>0</v>
      </c>
      <c r="M305" s="813">
        <v>0</v>
      </c>
      <c r="N305" s="771">
        <v>8535.4080442126105</v>
      </c>
      <c r="O305" s="820">
        <v>0</v>
      </c>
      <c r="P305" s="813">
        <v>0</v>
      </c>
      <c r="Q305" s="771">
        <v>11672.617495226517</v>
      </c>
      <c r="R305" s="820">
        <v>0</v>
      </c>
      <c r="S305" s="813">
        <v>0</v>
      </c>
      <c r="T305" s="771">
        <v>11344.051136382641</v>
      </c>
      <c r="U305" s="820">
        <v>0</v>
      </c>
      <c r="V305" s="813">
        <v>0</v>
      </c>
      <c r="W305" s="771">
        <v>10228.056302312993</v>
      </c>
      <c r="X305" s="820">
        <v>0</v>
      </c>
      <c r="Y305" s="813">
        <v>0</v>
      </c>
      <c r="Z305" s="771">
        <v>10456.478287315782</v>
      </c>
      <c r="AA305" s="820">
        <v>0</v>
      </c>
      <c r="AB305" s="813">
        <v>0</v>
      </c>
      <c r="AC305" s="771">
        <v>11379.257020077523</v>
      </c>
      <c r="AD305" s="820">
        <v>0</v>
      </c>
      <c r="AE305" s="813">
        <v>0</v>
      </c>
      <c r="AF305" s="771">
        <v>10647.307480648535</v>
      </c>
      <c r="AG305" s="820">
        <v>0</v>
      </c>
      <c r="AH305" s="813">
        <v>0</v>
      </c>
      <c r="AI305" s="771">
        <v>13507.969846561695</v>
      </c>
      <c r="AJ305" s="820">
        <v>0</v>
      </c>
      <c r="AK305" s="813">
        <v>0</v>
      </c>
      <c r="AL305" s="771">
        <v>13853.049361178608</v>
      </c>
      <c r="AM305" s="820">
        <v>0</v>
      </c>
      <c r="AN305" s="813">
        <v>0</v>
      </c>
      <c r="AO305" s="771">
        <v>9794.4097311513451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5042874.9119999995</v>
      </c>
      <c r="D307" s="854">
        <v>0.26070729057517422</v>
      </c>
      <c r="E307" s="855">
        <v>1314714.2550170401</v>
      </c>
      <c r="F307" s="853">
        <v>366553.85165999999</v>
      </c>
      <c r="G307" s="854">
        <v>0.2422877663492799</v>
      </c>
      <c r="H307" s="855">
        <v>88811.513965426682</v>
      </c>
      <c r="I307" s="853">
        <v>330510.34288800001</v>
      </c>
      <c r="J307" s="854">
        <v>0.24840893154228125</v>
      </c>
      <c r="K307" s="855">
        <v>82101.721140481095</v>
      </c>
      <c r="L307" s="853">
        <v>332918.07822000002</v>
      </c>
      <c r="M307" s="854">
        <v>0.25893887500541812</v>
      </c>
      <c r="N307" s="855">
        <v>86205.4326432526</v>
      </c>
      <c r="O307" s="853">
        <v>455282.90670799999</v>
      </c>
      <c r="P307" s="854">
        <v>0.26491860158026698</v>
      </c>
      <c r="Q307" s="855">
        <v>120612.91096848251</v>
      </c>
      <c r="R307" s="853">
        <v>442467.38808399998</v>
      </c>
      <c r="S307" s="854">
        <v>0.27092582774555318</v>
      </c>
      <c r="T307" s="855">
        <v>119875.84336707061</v>
      </c>
      <c r="U307" s="853">
        <v>398938.73034000001</v>
      </c>
      <c r="V307" s="854">
        <v>0.26310913425035443</v>
      </c>
      <c r="W307" s="855">
        <v>104964.42395869301</v>
      </c>
      <c r="X307" s="853">
        <v>407848.18234</v>
      </c>
      <c r="Y307" s="854">
        <v>0.25969081646023107</v>
      </c>
      <c r="Z307" s="855">
        <v>105914.42746369579</v>
      </c>
      <c r="AA307" s="853">
        <v>443840.57084</v>
      </c>
      <c r="AB307" s="854">
        <v>0.25960892937499158</v>
      </c>
      <c r="AC307" s="855">
        <v>115224.97540895751</v>
      </c>
      <c r="AD307" s="853">
        <v>415291.35177999997</v>
      </c>
      <c r="AE307" s="854">
        <v>0.25354580535519705</v>
      </c>
      <c r="AF307" s="855">
        <v>105295.38024410853</v>
      </c>
      <c r="AG307" s="853">
        <v>526869.63981999992</v>
      </c>
      <c r="AH307" s="854">
        <v>0.25846123642239993</v>
      </c>
      <c r="AI307" s="855">
        <v>136175.3785413017</v>
      </c>
      <c r="AJ307" s="853">
        <v>540329.24341999996</v>
      </c>
      <c r="AK307" s="854">
        <v>0.28403986759943295</v>
      </c>
      <c r="AL307" s="855">
        <v>153475.04676111857</v>
      </c>
      <c r="AM307" s="853">
        <v>382024.62589999998</v>
      </c>
      <c r="AN307" s="854">
        <v>0.25144243078087741</v>
      </c>
      <c r="AO307" s="855">
        <v>96057.200554451338</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575371</v>
      </c>
      <c r="D310" s="813">
        <v>0.17100000000000001</v>
      </c>
      <c r="E310" s="758">
        <v>98388.441000000006</v>
      </c>
      <c r="F310" s="820">
        <v>51783.39</v>
      </c>
      <c r="G310" s="813">
        <v>0.17099999999999999</v>
      </c>
      <c r="H310" s="771">
        <v>8854.9596899999997</v>
      </c>
      <c r="I310" s="820">
        <v>51783.39</v>
      </c>
      <c r="J310" s="813">
        <v>0.17099999999999999</v>
      </c>
      <c r="K310" s="771">
        <v>8854.9596899999997</v>
      </c>
      <c r="L310" s="820">
        <v>28768.550000000003</v>
      </c>
      <c r="M310" s="813">
        <v>0.17100000000000001</v>
      </c>
      <c r="N310" s="771">
        <v>4919.422050000001</v>
      </c>
      <c r="O310" s="820">
        <v>28768.550000000003</v>
      </c>
      <c r="P310" s="813">
        <v>0.17100000000000001</v>
      </c>
      <c r="Q310" s="771">
        <v>4919.422050000001</v>
      </c>
      <c r="R310" s="820">
        <v>28768.550000000003</v>
      </c>
      <c r="S310" s="813">
        <v>0.17100000000000001</v>
      </c>
      <c r="T310" s="771">
        <v>4919.422050000001</v>
      </c>
      <c r="U310" s="820">
        <v>23014.84</v>
      </c>
      <c r="V310" s="813">
        <v>0.17100000000000001</v>
      </c>
      <c r="W310" s="771">
        <v>3935.5376400000005</v>
      </c>
      <c r="X310" s="820">
        <v>23014.84</v>
      </c>
      <c r="Y310" s="813">
        <v>0.17100000000000001</v>
      </c>
      <c r="Z310" s="771">
        <v>3935.5376400000005</v>
      </c>
      <c r="AA310" s="820">
        <v>28768.550000000003</v>
      </c>
      <c r="AB310" s="813">
        <v>0.17100000000000001</v>
      </c>
      <c r="AC310" s="771">
        <v>4919.422050000001</v>
      </c>
      <c r="AD310" s="820">
        <v>34522.26</v>
      </c>
      <c r="AE310" s="813">
        <v>0.17100000000000001</v>
      </c>
      <c r="AF310" s="771">
        <v>5903.3064600000007</v>
      </c>
      <c r="AG310" s="820">
        <v>80551.94</v>
      </c>
      <c r="AH310" s="813">
        <v>0.17100000000000001</v>
      </c>
      <c r="AI310" s="771">
        <v>13774.381740000001</v>
      </c>
      <c r="AJ310" s="820">
        <v>138089.04</v>
      </c>
      <c r="AK310" s="813">
        <v>0.17100000000000001</v>
      </c>
      <c r="AL310" s="771">
        <v>23613.225840000003</v>
      </c>
      <c r="AM310" s="820">
        <v>57537.100000000006</v>
      </c>
      <c r="AN310" s="813">
        <v>0.17100000000000001</v>
      </c>
      <c r="AO310" s="771">
        <v>9838.8441000000021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276829</v>
      </c>
      <c r="D311" s="813">
        <v>0.25599999999999995</v>
      </c>
      <c r="E311" s="758">
        <v>70868.223999999987</v>
      </c>
      <c r="F311" s="820">
        <v>34776.986694943385</v>
      </c>
      <c r="G311" s="813">
        <v>0.25600000000000001</v>
      </c>
      <c r="H311" s="771">
        <v>8902.9085939055076</v>
      </c>
      <c r="I311" s="820">
        <v>19582.513486755135</v>
      </c>
      <c r="J311" s="813">
        <v>0.25600000000000001</v>
      </c>
      <c r="K311" s="771">
        <v>5013.1234526093149</v>
      </c>
      <c r="L311" s="820">
        <v>15028.469555091777</v>
      </c>
      <c r="M311" s="813">
        <v>0.25600000000000001</v>
      </c>
      <c r="N311" s="771">
        <v>3847.2882061034948</v>
      </c>
      <c r="O311" s="820">
        <v>15664.764983377116</v>
      </c>
      <c r="P311" s="813">
        <v>0.25600000000000001</v>
      </c>
      <c r="Q311" s="771">
        <v>4010.1798357445418</v>
      </c>
      <c r="R311" s="820">
        <v>24789.98267957495</v>
      </c>
      <c r="S311" s="813">
        <v>0.25600000000000001</v>
      </c>
      <c r="T311" s="771">
        <v>6346.2355659711875</v>
      </c>
      <c r="U311" s="820">
        <v>36687.118785826395</v>
      </c>
      <c r="V311" s="813">
        <v>0.25600000000000001</v>
      </c>
      <c r="W311" s="771">
        <v>9391.9024091715564</v>
      </c>
      <c r="X311" s="820">
        <v>19997.678345249682</v>
      </c>
      <c r="Y311" s="813">
        <v>0.25600000000000001</v>
      </c>
      <c r="Z311" s="771">
        <v>5119.4056563839185</v>
      </c>
      <c r="AA311" s="820">
        <v>17871.087457177095</v>
      </c>
      <c r="AB311" s="813">
        <v>0.25600000000000001</v>
      </c>
      <c r="AC311" s="771">
        <v>4574.998389037336</v>
      </c>
      <c r="AD311" s="820">
        <v>25072.157744688273</v>
      </c>
      <c r="AE311" s="813">
        <v>0.25600000000000001</v>
      </c>
      <c r="AF311" s="771">
        <v>6418.4723826401978</v>
      </c>
      <c r="AG311" s="820">
        <v>25352.464100761106</v>
      </c>
      <c r="AH311" s="813">
        <v>0.25600000000000001</v>
      </c>
      <c r="AI311" s="771">
        <v>6490.2308097948435</v>
      </c>
      <c r="AJ311" s="820">
        <v>18945.283703949553</v>
      </c>
      <c r="AK311" s="813">
        <v>0.25600000000000001</v>
      </c>
      <c r="AL311" s="771">
        <v>4849.9926282110855</v>
      </c>
      <c r="AM311" s="820">
        <v>23060.492462605547</v>
      </c>
      <c r="AN311" s="813">
        <v>0.25600000000000001</v>
      </c>
      <c r="AO311" s="771">
        <v>5903.4860704270204</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5895074.9119999995</v>
      </c>
      <c r="D312" s="854">
        <v>0.25173062974929677</v>
      </c>
      <c r="E312" s="855">
        <v>1483970.9200170401</v>
      </c>
      <c r="F312" s="853">
        <v>453114.22835494339</v>
      </c>
      <c r="G312" s="854">
        <v>0.23519319319598131</v>
      </c>
      <c r="H312" s="855">
        <v>106569.38224933219</v>
      </c>
      <c r="I312" s="853">
        <v>401876.24637475517</v>
      </c>
      <c r="J312" s="854">
        <v>0.23880437111875791</v>
      </c>
      <c r="K312" s="855">
        <v>95969.804283090416</v>
      </c>
      <c r="L312" s="853">
        <v>376715.09777509177</v>
      </c>
      <c r="M312" s="854">
        <v>0.25210601714735842</v>
      </c>
      <c r="N312" s="855">
        <v>94972.142899356084</v>
      </c>
      <c r="O312" s="853">
        <v>499716.22169137711</v>
      </c>
      <c r="P312" s="854">
        <v>0.25923215463321908</v>
      </c>
      <c r="Q312" s="855">
        <v>129542.51285422705</v>
      </c>
      <c r="R312" s="853">
        <v>496025.92076357489</v>
      </c>
      <c r="S312" s="854">
        <v>0.26438437084329086</v>
      </c>
      <c r="T312" s="855">
        <v>131141.5009830418</v>
      </c>
      <c r="U312" s="853">
        <v>458640.68912582641</v>
      </c>
      <c r="V312" s="854">
        <v>0.25791838101702225</v>
      </c>
      <c r="W312" s="855">
        <v>118291.86400786455</v>
      </c>
      <c r="X312" s="853">
        <v>450860.7006852497</v>
      </c>
      <c r="Y312" s="854">
        <v>0.25499976064744873</v>
      </c>
      <c r="Z312" s="855">
        <v>114969.37076007971</v>
      </c>
      <c r="AA312" s="853">
        <v>490480.2082971771</v>
      </c>
      <c r="AB312" s="854">
        <v>0.25428018039910105</v>
      </c>
      <c r="AC312" s="855">
        <v>124719.39584799485</v>
      </c>
      <c r="AD312" s="853">
        <v>474885.76952468825</v>
      </c>
      <c r="AE312" s="854">
        <v>0.24767463384820185</v>
      </c>
      <c r="AF312" s="855">
        <v>117617.15908674874</v>
      </c>
      <c r="AG312" s="853">
        <v>632774.04392076097</v>
      </c>
      <c r="AH312" s="854">
        <v>0.24722883720351643</v>
      </c>
      <c r="AI312" s="855">
        <v>156439.99109109657</v>
      </c>
      <c r="AJ312" s="853">
        <v>697363.56712394953</v>
      </c>
      <c r="AK312" s="854">
        <v>0.26089442266058605</v>
      </c>
      <c r="AL312" s="855">
        <v>181938.26522932967</v>
      </c>
      <c r="AM312" s="853">
        <v>462622.21836260549</v>
      </c>
      <c r="AN312" s="854">
        <v>0.24166485371277469</v>
      </c>
      <c r="AO312" s="855">
        <v>111799.53072487836</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3860</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5895074.9119999995</v>
      </c>
      <c r="D317" s="861">
        <v>0.25173062974929677</v>
      </c>
      <c r="E317" s="761">
        <v>1483970.9200170401</v>
      </c>
      <c r="F317" s="759">
        <v>453114.22835494339</v>
      </c>
      <c r="G317" s="861">
        <v>0.23519319319598131</v>
      </c>
      <c r="H317" s="761">
        <v>106569.38224933219</v>
      </c>
      <c r="I317" s="759">
        <v>401876.24637475517</v>
      </c>
      <c r="J317" s="861">
        <v>0.23880437111875791</v>
      </c>
      <c r="K317" s="761">
        <v>95969.804283090416</v>
      </c>
      <c r="L317" s="759">
        <v>376715.09777509177</v>
      </c>
      <c r="M317" s="861">
        <v>0.25210601714735842</v>
      </c>
      <c r="N317" s="761">
        <v>94972.142899356084</v>
      </c>
      <c r="O317" s="759">
        <v>499716.22169137711</v>
      </c>
      <c r="P317" s="861">
        <v>0.25923215463321908</v>
      </c>
      <c r="Q317" s="761">
        <v>129542.51285422705</v>
      </c>
      <c r="R317" s="759">
        <v>496025.92076357489</v>
      </c>
      <c r="S317" s="861">
        <v>0.26438437084329086</v>
      </c>
      <c r="T317" s="761">
        <v>131141.5009830418</v>
      </c>
      <c r="U317" s="759">
        <v>458640.68912582641</v>
      </c>
      <c r="V317" s="861">
        <v>0.25791838101702225</v>
      </c>
      <c r="W317" s="761">
        <v>118291.86400786455</v>
      </c>
      <c r="X317" s="759">
        <v>450860.7006852497</v>
      </c>
      <c r="Y317" s="861">
        <v>0.25499976064744873</v>
      </c>
      <c r="Z317" s="761">
        <v>114969.37076007971</v>
      </c>
      <c r="AA317" s="759">
        <v>490480.2082971771</v>
      </c>
      <c r="AB317" s="861">
        <v>0.25428018039910105</v>
      </c>
      <c r="AC317" s="761">
        <v>124719.39584799485</v>
      </c>
      <c r="AD317" s="759">
        <v>474885.76952468825</v>
      </c>
      <c r="AE317" s="861">
        <v>0.24767463384820185</v>
      </c>
      <c r="AF317" s="761">
        <v>117617.15908674874</v>
      </c>
      <c r="AG317" s="759">
        <v>632774.04392076097</v>
      </c>
      <c r="AH317" s="861">
        <v>0.24722883720351643</v>
      </c>
      <c r="AI317" s="761">
        <v>156439.99109109657</v>
      </c>
      <c r="AJ317" s="759">
        <v>697363.56712394953</v>
      </c>
      <c r="AK317" s="861">
        <v>0.26089442266058605</v>
      </c>
      <c r="AL317" s="761">
        <v>181938.26522932967</v>
      </c>
      <c r="AM317" s="759">
        <v>462622.21836260549</v>
      </c>
      <c r="AN317" s="861">
        <v>0.24166485371277469</v>
      </c>
      <c r="AO317" s="761">
        <v>111799.53072487836</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88255</v>
      </c>
      <c r="F321" s="747"/>
      <c r="G321" s="757"/>
      <c r="H321" s="771">
        <v>8192.0423076923089</v>
      </c>
      <c r="I321" s="747"/>
      <c r="J321" s="757"/>
      <c r="K321" s="771">
        <v>6935.8538461538465</v>
      </c>
      <c r="L321" s="747"/>
      <c r="M321" s="757"/>
      <c r="N321" s="771">
        <v>6935.8538461538465</v>
      </c>
      <c r="O321" s="747"/>
      <c r="P321" s="757"/>
      <c r="Q321" s="771">
        <v>6935.8538461538465</v>
      </c>
      <c r="R321" s="747"/>
      <c r="S321" s="757"/>
      <c r="T321" s="771">
        <v>8192.0423076923089</v>
      </c>
      <c r="U321" s="747"/>
      <c r="V321" s="757"/>
      <c r="W321" s="771">
        <v>6935.8538461538465</v>
      </c>
      <c r="X321" s="747"/>
      <c r="Y321" s="757"/>
      <c r="Z321" s="771">
        <v>6935.8538461538465</v>
      </c>
      <c r="AA321" s="747"/>
      <c r="AB321" s="757"/>
      <c r="AC321" s="771">
        <v>8192.0423076923089</v>
      </c>
      <c r="AD321" s="747"/>
      <c r="AE321" s="757"/>
      <c r="AF321" s="771">
        <v>6935.8538461538465</v>
      </c>
      <c r="AG321" s="747"/>
      <c r="AH321" s="757"/>
      <c r="AI321" s="771">
        <v>8192.0423076923089</v>
      </c>
      <c r="AJ321" s="747"/>
      <c r="AK321" s="757"/>
      <c r="AL321" s="771">
        <v>6935.8538461538465</v>
      </c>
      <c r="AM321" s="747"/>
      <c r="AN321" s="757"/>
      <c r="AO321" s="771">
        <v>6935.8538461538465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341351.51360000006</v>
      </c>
      <c r="F322" s="747"/>
      <c r="G322" s="757"/>
      <c r="H322" s="771">
        <v>32608.030153846154</v>
      </c>
      <c r="I322" s="747"/>
      <c r="J322" s="757"/>
      <c r="K322" s="771">
        <v>26364.924123076926</v>
      </c>
      <c r="L322" s="747"/>
      <c r="M322" s="757"/>
      <c r="N322" s="771">
        <v>26364.924123076926</v>
      </c>
      <c r="O322" s="747"/>
      <c r="P322" s="757"/>
      <c r="Q322" s="771">
        <v>26364.924123076926</v>
      </c>
      <c r="R322" s="747"/>
      <c r="S322" s="757"/>
      <c r="T322" s="771">
        <v>32608.030153846154</v>
      </c>
      <c r="U322" s="747"/>
      <c r="V322" s="757"/>
      <c r="W322" s="771">
        <v>26364.924123076926</v>
      </c>
      <c r="X322" s="747"/>
      <c r="Y322" s="757"/>
      <c r="Z322" s="771">
        <v>26364.924123076926</v>
      </c>
      <c r="AA322" s="747"/>
      <c r="AB322" s="757"/>
      <c r="AC322" s="771">
        <v>32608.030153846154</v>
      </c>
      <c r="AD322" s="747"/>
      <c r="AE322" s="757"/>
      <c r="AF322" s="771">
        <v>26364.924123076926</v>
      </c>
      <c r="AG322" s="747"/>
      <c r="AH322" s="757"/>
      <c r="AI322" s="771">
        <v>32608.030153846154</v>
      </c>
      <c r="AJ322" s="747"/>
      <c r="AK322" s="757"/>
      <c r="AL322" s="771">
        <v>26364.924123076926</v>
      </c>
      <c r="AM322" s="747"/>
      <c r="AN322" s="757"/>
      <c r="AO322" s="771">
        <v>26364.924123076926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175.30769230769232</v>
      </c>
      <c r="I323" s="780"/>
      <c r="J323" s="781"/>
      <c r="K323" s="783">
        <v>140.24615384615385</v>
      </c>
      <c r="L323" s="780"/>
      <c r="M323" s="781"/>
      <c r="N323" s="783">
        <v>140.24615384615385</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175.30769230769232</v>
      </c>
      <c r="AJ323" s="780"/>
      <c r="AK323" s="781"/>
      <c r="AL323" s="783">
        <v>140.24615384615385</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53192.196493600008</v>
      </c>
      <c r="F328" s="747"/>
      <c r="G328" s="757"/>
      <c r="H328" s="771">
        <v>5047.9207243846158</v>
      </c>
      <c r="I328" s="747"/>
      <c r="J328" s="757"/>
      <c r="K328" s="771">
        <v>4125.0641995076921</v>
      </c>
      <c r="L328" s="747"/>
      <c r="M328" s="757"/>
      <c r="N328" s="771">
        <v>4125.0641995076921</v>
      </c>
      <c r="O328" s="747"/>
      <c r="P328" s="757"/>
      <c r="Q328" s="771">
        <v>4125.0641995076921</v>
      </c>
      <c r="R328" s="747"/>
      <c r="S328" s="757"/>
      <c r="T328" s="771">
        <v>5047.9207243846158</v>
      </c>
      <c r="U328" s="747"/>
      <c r="V328" s="757"/>
      <c r="W328" s="771">
        <v>4125.0641995076921</v>
      </c>
      <c r="X328" s="747"/>
      <c r="Y328" s="757"/>
      <c r="Z328" s="771">
        <v>4125.0641995076921</v>
      </c>
      <c r="AA328" s="747"/>
      <c r="AB328" s="757"/>
      <c r="AC328" s="771">
        <v>5047.9207243846158</v>
      </c>
      <c r="AD328" s="747"/>
      <c r="AE328" s="757"/>
      <c r="AF328" s="771">
        <v>4125.0641995076921</v>
      </c>
      <c r="AG328" s="747"/>
      <c r="AH328" s="757"/>
      <c r="AI328" s="771">
        <v>5047.9207243846158</v>
      </c>
      <c r="AJ328" s="747"/>
      <c r="AK328" s="757"/>
      <c r="AL328" s="771">
        <v>4125.0641995076921</v>
      </c>
      <c r="AM328" s="747"/>
      <c r="AN328" s="757"/>
      <c r="AO328" s="771">
        <v>4125.0641995076921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64674.212476800007</v>
      </c>
      <c r="F329" s="780"/>
      <c r="G329" s="781"/>
      <c r="H329" s="783">
        <v>6137.5599996923083</v>
      </c>
      <c r="I329" s="780"/>
      <c r="J329" s="781"/>
      <c r="K329" s="783">
        <v>5015.4965597538467</v>
      </c>
      <c r="L329" s="780"/>
      <c r="M329" s="781"/>
      <c r="N329" s="783">
        <v>5015.4965597538467</v>
      </c>
      <c r="O329" s="780"/>
      <c r="P329" s="781"/>
      <c r="Q329" s="783">
        <v>5015.4965597538467</v>
      </c>
      <c r="R329" s="780"/>
      <c r="S329" s="781"/>
      <c r="T329" s="783">
        <v>6137.5599996923083</v>
      </c>
      <c r="U329" s="780"/>
      <c r="V329" s="781"/>
      <c r="W329" s="783">
        <v>5015.4965597538467</v>
      </c>
      <c r="X329" s="780"/>
      <c r="Y329" s="781"/>
      <c r="Z329" s="783">
        <v>5015.4965597538467</v>
      </c>
      <c r="AA329" s="780"/>
      <c r="AB329" s="781"/>
      <c r="AC329" s="783">
        <v>6137.5599996923083</v>
      </c>
      <c r="AD329" s="780"/>
      <c r="AE329" s="781"/>
      <c r="AF329" s="783">
        <v>5015.4965597538467</v>
      </c>
      <c r="AG329" s="780"/>
      <c r="AH329" s="781"/>
      <c r="AI329" s="783">
        <v>6137.5599996923083</v>
      </c>
      <c r="AJ329" s="780"/>
      <c r="AK329" s="781"/>
      <c r="AL329" s="783">
        <v>5015.4965597538467</v>
      </c>
      <c r="AM329" s="780"/>
      <c r="AN329" s="781"/>
      <c r="AO329" s="783">
        <v>5015.4965597538467</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33321.279036959997</v>
      </c>
      <c r="F330" s="747"/>
      <c r="G330" s="757"/>
      <c r="H330" s="771">
        <v>3162.1776520153844</v>
      </c>
      <c r="I330" s="747"/>
      <c r="J330" s="757"/>
      <c r="K330" s="771">
        <v>2584.0710536123074</v>
      </c>
      <c r="L330" s="747"/>
      <c r="M330" s="757"/>
      <c r="N330" s="771">
        <v>2584.0710536123074</v>
      </c>
      <c r="O330" s="747"/>
      <c r="P330" s="757"/>
      <c r="Q330" s="771">
        <v>2584.0710536123074</v>
      </c>
      <c r="R330" s="747"/>
      <c r="S330" s="757"/>
      <c r="T330" s="771">
        <v>3162.1776520153844</v>
      </c>
      <c r="U330" s="747"/>
      <c r="V330" s="757"/>
      <c r="W330" s="771">
        <v>2584.0710536123074</v>
      </c>
      <c r="X330" s="747"/>
      <c r="Y330" s="757"/>
      <c r="Z330" s="771">
        <v>2584.0710536123074</v>
      </c>
      <c r="AA330" s="747"/>
      <c r="AB330" s="757"/>
      <c r="AC330" s="771">
        <v>3162.1776520153844</v>
      </c>
      <c r="AD330" s="747"/>
      <c r="AE330" s="757"/>
      <c r="AF330" s="771">
        <v>2584.0710536123074</v>
      </c>
      <c r="AG330" s="747"/>
      <c r="AH330" s="757"/>
      <c r="AI330" s="771">
        <v>3162.1776520153844</v>
      </c>
      <c r="AJ330" s="747"/>
      <c r="AK330" s="757"/>
      <c r="AL330" s="771">
        <v>2584.0710536123074</v>
      </c>
      <c r="AM330" s="747"/>
      <c r="AN330" s="757"/>
      <c r="AO330" s="771">
        <v>2584.0710536123074</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14528.265121599996</v>
      </c>
      <c r="F331" s="747"/>
      <c r="G331" s="757"/>
      <c r="H331" s="771">
        <v>1378.7272463076922</v>
      </c>
      <c r="I331" s="747"/>
      <c r="J331" s="757"/>
      <c r="K331" s="771">
        <v>1126.6695170461537</v>
      </c>
      <c r="L331" s="747"/>
      <c r="M331" s="757"/>
      <c r="N331" s="771">
        <v>1126.6695170461537</v>
      </c>
      <c r="O331" s="747"/>
      <c r="P331" s="757"/>
      <c r="Q331" s="771">
        <v>1126.6695170461537</v>
      </c>
      <c r="R331" s="747"/>
      <c r="S331" s="757"/>
      <c r="T331" s="771">
        <v>1378.7272463076922</v>
      </c>
      <c r="U331" s="747"/>
      <c r="V331" s="757"/>
      <c r="W331" s="771">
        <v>1126.6695170461537</v>
      </c>
      <c r="X331" s="747"/>
      <c r="Y331" s="757"/>
      <c r="Z331" s="771">
        <v>1126.6695170461537</v>
      </c>
      <c r="AA331" s="747"/>
      <c r="AB331" s="757"/>
      <c r="AC331" s="771">
        <v>1378.7272463076922</v>
      </c>
      <c r="AD331" s="747"/>
      <c r="AE331" s="757"/>
      <c r="AF331" s="771">
        <v>1126.6695170461537</v>
      </c>
      <c r="AG331" s="747"/>
      <c r="AH331" s="757"/>
      <c r="AI331" s="771">
        <v>1378.7272463076922</v>
      </c>
      <c r="AJ331" s="747"/>
      <c r="AK331" s="757"/>
      <c r="AL331" s="771">
        <v>1126.6695170461537</v>
      </c>
      <c r="AM331" s="747"/>
      <c r="AN331" s="757"/>
      <c r="AO331" s="771">
        <v>1126.6695170461537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0.40239714853853281</v>
      </c>
      <c r="E333" s="779">
        <v>597145.66672896012</v>
      </c>
      <c r="F333" s="777" t="s">
        <v>119</v>
      </c>
      <c r="G333" s="778">
        <v>0.53206431884521399</v>
      </c>
      <c r="H333" s="779">
        <v>56701.765776246168</v>
      </c>
      <c r="I333" s="777" t="s">
        <v>119</v>
      </c>
      <c r="J333" s="778">
        <v>0.48236344544836685</v>
      </c>
      <c r="K333" s="779">
        <v>46292.325452996927</v>
      </c>
      <c r="L333" s="777" t="s">
        <v>119</v>
      </c>
      <c r="M333" s="778">
        <v>0.48743056689848357</v>
      </c>
      <c r="N333" s="779">
        <v>46292.325452996927</v>
      </c>
      <c r="O333" s="777" t="s">
        <v>119</v>
      </c>
      <c r="P333" s="778">
        <v>0.35735238133823477</v>
      </c>
      <c r="Q333" s="779">
        <v>46292.325452996927</v>
      </c>
      <c r="R333" s="777" t="s">
        <v>119</v>
      </c>
      <c r="S333" s="778">
        <v>0.43237087688647396</v>
      </c>
      <c r="T333" s="779">
        <v>56701.765776246168</v>
      </c>
      <c r="U333" s="777" t="s">
        <v>119</v>
      </c>
      <c r="V333" s="778">
        <v>0.39133989341751529</v>
      </c>
      <c r="W333" s="779">
        <v>46292.325452996927</v>
      </c>
      <c r="X333" s="777" t="s">
        <v>119</v>
      </c>
      <c r="Y333" s="778">
        <v>0.40264920253934972</v>
      </c>
      <c r="Z333" s="779">
        <v>46292.325452996927</v>
      </c>
      <c r="AA333" s="777" t="s">
        <v>119</v>
      </c>
      <c r="AB333" s="778">
        <v>0.45463470529758648</v>
      </c>
      <c r="AC333" s="779">
        <v>56701.765776246168</v>
      </c>
      <c r="AD333" s="777" t="s">
        <v>119</v>
      </c>
      <c r="AE333" s="778">
        <v>0.39358479504554217</v>
      </c>
      <c r="AF333" s="779">
        <v>46292.325452996927</v>
      </c>
      <c r="AG333" s="777" t="s">
        <v>119</v>
      </c>
      <c r="AH333" s="778">
        <v>0.36245058172643441</v>
      </c>
      <c r="AI333" s="779">
        <v>56701.765776246168</v>
      </c>
      <c r="AJ333" s="777" t="s">
        <v>119</v>
      </c>
      <c r="AK333" s="778">
        <v>0.25443974303397004</v>
      </c>
      <c r="AL333" s="779">
        <v>46292.325452996927</v>
      </c>
      <c r="AM333" s="777" t="s">
        <v>119</v>
      </c>
      <c r="AN333" s="778">
        <v>0.41406547194652632</v>
      </c>
      <c r="AO333" s="779">
        <v>46292.325452996927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54824.000000000007</v>
      </c>
      <c r="F334" s="747"/>
      <c r="G334" s="757"/>
      <c r="H334" s="771">
        <v>4290.4720568014109</v>
      </c>
      <c r="I334" s="747"/>
      <c r="J334" s="757"/>
      <c r="K334" s="771">
        <v>2771.8470468118267</v>
      </c>
      <c r="L334" s="747"/>
      <c r="M334" s="757"/>
      <c r="N334" s="771">
        <v>3894.4355126085893</v>
      </c>
      <c r="O334" s="747"/>
      <c r="P334" s="757"/>
      <c r="Q334" s="771">
        <v>7533.1629382917936</v>
      </c>
      <c r="R334" s="747"/>
      <c r="S334" s="757"/>
      <c r="T334" s="771">
        <v>5653.4690242329343</v>
      </c>
      <c r="U334" s="747"/>
      <c r="V334" s="757"/>
      <c r="W334" s="771">
        <v>2779.9130291189213</v>
      </c>
      <c r="X334" s="747"/>
      <c r="Y334" s="757"/>
      <c r="Z334" s="771">
        <v>2588.4355861060794</v>
      </c>
      <c r="AA334" s="747"/>
      <c r="AB334" s="757"/>
      <c r="AC334" s="771">
        <v>2577.5928555269834</v>
      </c>
      <c r="AD334" s="747"/>
      <c r="AE334" s="757"/>
      <c r="AF334" s="771">
        <v>3927.9676362892696</v>
      </c>
      <c r="AG334" s="747"/>
      <c r="AH334" s="757"/>
      <c r="AI334" s="771">
        <v>5497.9379221932159</v>
      </c>
      <c r="AJ334" s="747"/>
      <c r="AK334" s="757"/>
      <c r="AL334" s="771">
        <v>9787.2583975729049</v>
      </c>
      <c r="AM334" s="747"/>
      <c r="AN334" s="757"/>
      <c r="AO334" s="771">
        <v>3521.5079944460713</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6738.3093384171261</v>
      </c>
      <c r="F335" s="747"/>
      <c r="G335" s="757"/>
      <c r="H335" s="771">
        <v>561.52577820142733</v>
      </c>
      <c r="I335" s="747"/>
      <c r="J335" s="757"/>
      <c r="K335" s="771">
        <v>561.52577820142733</v>
      </c>
      <c r="L335" s="747"/>
      <c r="M335" s="757"/>
      <c r="N335" s="771">
        <v>561.52577820142733</v>
      </c>
      <c r="O335" s="747"/>
      <c r="P335" s="757"/>
      <c r="Q335" s="771">
        <v>561.52577820142733</v>
      </c>
      <c r="R335" s="747"/>
      <c r="S335" s="757"/>
      <c r="T335" s="771">
        <v>561.52577820142733</v>
      </c>
      <c r="U335" s="747"/>
      <c r="V335" s="757"/>
      <c r="W335" s="771">
        <v>561.52577820142733</v>
      </c>
      <c r="X335" s="747"/>
      <c r="Y335" s="757"/>
      <c r="Z335" s="771">
        <v>561.52577820142733</v>
      </c>
      <c r="AA335" s="747"/>
      <c r="AB335" s="757"/>
      <c r="AC335" s="771">
        <v>561.52577820142733</v>
      </c>
      <c r="AD335" s="747"/>
      <c r="AE335" s="757"/>
      <c r="AF335" s="771">
        <v>561.52577820142733</v>
      </c>
      <c r="AG335" s="747"/>
      <c r="AH335" s="757"/>
      <c r="AI335" s="771">
        <v>561.52577820142733</v>
      </c>
      <c r="AJ335" s="747"/>
      <c r="AK335" s="757"/>
      <c r="AL335" s="771">
        <v>561.52577820142733</v>
      </c>
      <c r="AM335" s="747"/>
      <c r="AN335" s="757"/>
      <c r="AO335" s="771">
        <v>561.52577820142733</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15171.845866666668</v>
      </c>
      <c r="F336" s="776"/>
      <c r="G336" s="784"/>
      <c r="H336" s="775">
        <v>1264.3204888888893</v>
      </c>
      <c r="I336" s="776"/>
      <c r="J336" s="784"/>
      <c r="K336" s="775">
        <v>1264.3204888888893</v>
      </c>
      <c r="L336" s="776"/>
      <c r="M336" s="784"/>
      <c r="N336" s="775">
        <v>1264.3204888888893</v>
      </c>
      <c r="O336" s="776"/>
      <c r="P336" s="784"/>
      <c r="Q336" s="775">
        <v>1264.3204888888893</v>
      </c>
      <c r="R336" s="776"/>
      <c r="S336" s="784"/>
      <c r="T336" s="775">
        <v>1264.3204888888893</v>
      </c>
      <c r="U336" s="776"/>
      <c r="V336" s="784"/>
      <c r="W336" s="775">
        <v>1264.3204888888893</v>
      </c>
      <c r="X336" s="776"/>
      <c r="Y336" s="784"/>
      <c r="Z336" s="775">
        <v>1264.3204888888893</v>
      </c>
      <c r="AA336" s="776"/>
      <c r="AB336" s="784"/>
      <c r="AC336" s="775">
        <v>1264.3204888888893</v>
      </c>
      <c r="AD336" s="776"/>
      <c r="AE336" s="784"/>
      <c r="AF336" s="775">
        <v>1264.3204888888893</v>
      </c>
      <c r="AG336" s="776"/>
      <c r="AH336" s="784"/>
      <c r="AI336" s="775">
        <v>1264.3204888888893</v>
      </c>
      <c r="AJ336" s="776"/>
      <c r="AK336" s="784"/>
      <c r="AL336" s="775">
        <v>1264.3204888888893</v>
      </c>
      <c r="AM336" s="776"/>
      <c r="AN336" s="784"/>
      <c r="AO336" s="775">
        <v>1264.3204888888893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53395.880867333348</v>
      </c>
      <c r="F337" s="747"/>
      <c r="G337" s="757"/>
      <c r="H337" s="771">
        <v>4449.6567389444454</v>
      </c>
      <c r="I337" s="747"/>
      <c r="J337" s="757"/>
      <c r="K337" s="771">
        <v>4449.6567389444454</v>
      </c>
      <c r="L337" s="747"/>
      <c r="M337" s="757"/>
      <c r="N337" s="771">
        <v>4449.6567389444454</v>
      </c>
      <c r="O337" s="747"/>
      <c r="P337" s="757"/>
      <c r="Q337" s="771">
        <v>4449.6567389444454</v>
      </c>
      <c r="R337" s="747"/>
      <c r="S337" s="757"/>
      <c r="T337" s="771">
        <v>4449.6567389444454</v>
      </c>
      <c r="U337" s="747"/>
      <c r="V337" s="757"/>
      <c r="W337" s="771">
        <v>4449.6567389444454</v>
      </c>
      <c r="X337" s="747"/>
      <c r="Y337" s="757"/>
      <c r="Z337" s="771">
        <v>4449.6567389444454</v>
      </c>
      <c r="AA337" s="747"/>
      <c r="AB337" s="757"/>
      <c r="AC337" s="771">
        <v>4449.6567389444454</v>
      </c>
      <c r="AD337" s="747"/>
      <c r="AE337" s="757"/>
      <c r="AF337" s="771">
        <v>4449.6567389444454</v>
      </c>
      <c r="AG337" s="747"/>
      <c r="AH337" s="757"/>
      <c r="AI337" s="771">
        <v>4449.6567389444454</v>
      </c>
      <c r="AJ337" s="747"/>
      <c r="AK337" s="757"/>
      <c r="AL337" s="771">
        <v>4449.6567389444454</v>
      </c>
      <c r="AM337" s="747"/>
      <c r="AN337" s="757"/>
      <c r="AO337" s="771">
        <v>4449.6567389444454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9819.3176265217098</v>
      </c>
      <c r="F338" s="747"/>
      <c r="G338" s="757"/>
      <c r="H338" s="771">
        <v>818.27646887680896</v>
      </c>
      <c r="I338" s="747"/>
      <c r="J338" s="757"/>
      <c r="K338" s="771">
        <v>818.27646887680896</v>
      </c>
      <c r="L338" s="747"/>
      <c r="M338" s="757"/>
      <c r="N338" s="771">
        <v>818.27646887680896</v>
      </c>
      <c r="O338" s="747"/>
      <c r="P338" s="757"/>
      <c r="Q338" s="771">
        <v>818.27646887680896</v>
      </c>
      <c r="R338" s="747"/>
      <c r="S338" s="757"/>
      <c r="T338" s="771">
        <v>818.27646887680896</v>
      </c>
      <c r="U338" s="747"/>
      <c r="V338" s="757"/>
      <c r="W338" s="771">
        <v>818.27646887680896</v>
      </c>
      <c r="X338" s="747"/>
      <c r="Y338" s="757"/>
      <c r="Z338" s="771">
        <v>818.27646887680896</v>
      </c>
      <c r="AA338" s="747"/>
      <c r="AB338" s="757"/>
      <c r="AC338" s="771">
        <v>818.27646887680896</v>
      </c>
      <c r="AD338" s="747"/>
      <c r="AE338" s="757"/>
      <c r="AF338" s="771">
        <v>818.27646887680896</v>
      </c>
      <c r="AG338" s="747"/>
      <c r="AH338" s="757"/>
      <c r="AI338" s="771">
        <v>818.27646887680896</v>
      </c>
      <c r="AJ338" s="747"/>
      <c r="AK338" s="757"/>
      <c r="AL338" s="771">
        <v>818.27646887680896</v>
      </c>
      <c r="AM338" s="747"/>
      <c r="AN338" s="757"/>
      <c r="AO338" s="771">
        <v>818.27646887680896</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149857.03052718291</v>
      </c>
      <c r="F339" s="776"/>
      <c r="G339" s="784"/>
      <c r="H339" s="775">
        <v>12488.085877265243</v>
      </c>
      <c r="I339" s="776"/>
      <c r="J339" s="784"/>
      <c r="K339" s="775">
        <v>12488.085877265243</v>
      </c>
      <c r="L339" s="776"/>
      <c r="M339" s="784"/>
      <c r="N339" s="775">
        <v>12488.085877265243</v>
      </c>
      <c r="O339" s="776"/>
      <c r="P339" s="784"/>
      <c r="Q339" s="775">
        <v>12488.085877265243</v>
      </c>
      <c r="R339" s="776"/>
      <c r="S339" s="784"/>
      <c r="T339" s="775">
        <v>12488.085877265243</v>
      </c>
      <c r="U339" s="776"/>
      <c r="V339" s="784"/>
      <c r="W339" s="775">
        <v>12488.085877265243</v>
      </c>
      <c r="X339" s="776"/>
      <c r="Y339" s="784"/>
      <c r="Z339" s="775">
        <v>12488.085877265243</v>
      </c>
      <c r="AA339" s="776"/>
      <c r="AB339" s="784"/>
      <c r="AC339" s="775">
        <v>12488.085877265243</v>
      </c>
      <c r="AD339" s="776"/>
      <c r="AE339" s="784"/>
      <c r="AF339" s="775">
        <v>12488.085877265243</v>
      </c>
      <c r="AG339" s="776"/>
      <c r="AH339" s="784"/>
      <c r="AI339" s="775">
        <v>12488.085877265243</v>
      </c>
      <c r="AJ339" s="776"/>
      <c r="AK339" s="784"/>
      <c r="AL339" s="775">
        <v>12488.085877265243</v>
      </c>
      <c r="AM339" s="776"/>
      <c r="AN339" s="784"/>
      <c r="AO339" s="775">
        <v>12488.085877265243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3068.1039999999994</v>
      </c>
      <c r="F341" s="747"/>
      <c r="G341" s="757"/>
      <c r="H341" s="771">
        <v>255.67533333333333</v>
      </c>
      <c r="I341" s="747"/>
      <c r="J341" s="757"/>
      <c r="K341" s="771">
        <v>255.67533333333333</v>
      </c>
      <c r="L341" s="747"/>
      <c r="M341" s="757"/>
      <c r="N341" s="771">
        <v>255.67533333333333</v>
      </c>
      <c r="O341" s="747"/>
      <c r="P341" s="757"/>
      <c r="Q341" s="771">
        <v>255.67533333333333</v>
      </c>
      <c r="R341" s="747"/>
      <c r="S341" s="757"/>
      <c r="T341" s="771">
        <v>255.67533333333333</v>
      </c>
      <c r="U341" s="747"/>
      <c r="V341" s="757"/>
      <c r="W341" s="771">
        <v>255.67533333333333</v>
      </c>
      <c r="X341" s="747"/>
      <c r="Y341" s="757"/>
      <c r="Z341" s="771">
        <v>255.67533333333333</v>
      </c>
      <c r="AA341" s="747"/>
      <c r="AB341" s="757"/>
      <c r="AC341" s="771">
        <v>255.67533333333333</v>
      </c>
      <c r="AD341" s="747"/>
      <c r="AE341" s="757"/>
      <c r="AF341" s="771">
        <v>255.67533333333333</v>
      </c>
      <c r="AG341" s="747"/>
      <c r="AH341" s="757"/>
      <c r="AI341" s="771">
        <v>255.67533333333333</v>
      </c>
      <c r="AJ341" s="747"/>
      <c r="AK341" s="757"/>
      <c r="AL341" s="771">
        <v>255.67533333333333</v>
      </c>
      <c r="AM341" s="747"/>
      <c r="AN341" s="757"/>
      <c r="AO341" s="771">
        <v>255.67533333333333</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340</v>
      </c>
      <c r="F342" s="747"/>
      <c r="G342" s="757"/>
      <c r="H342" s="771">
        <v>28.333333333333332</v>
      </c>
      <c r="I342" s="747"/>
      <c r="J342" s="757"/>
      <c r="K342" s="771">
        <v>28.333333333333332</v>
      </c>
      <c r="L342" s="747"/>
      <c r="M342" s="757"/>
      <c r="N342" s="771">
        <v>28.333333333333332</v>
      </c>
      <c r="O342" s="747"/>
      <c r="P342" s="757"/>
      <c r="Q342" s="771">
        <v>28.333333333333332</v>
      </c>
      <c r="R342" s="747"/>
      <c r="S342" s="757"/>
      <c r="T342" s="771">
        <v>28.333333333333332</v>
      </c>
      <c r="U342" s="747"/>
      <c r="V342" s="757"/>
      <c r="W342" s="771">
        <v>28.333333333333332</v>
      </c>
      <c r="X342" s="747"/>
      <c r="Y342" s="757"/>
      <c r="Z342" s="771">
        <v>28.333333333333332</v>
      </c>
      <c r="AA342" s="747"/>
      <c r="AB342" s="757"/>
      <c r="AC342" s="771">
        <v>28.333333333333332</v>
      </c>
      <c r="AD342" s="747"/>
      <c r="AE342" s="757"/>
      <c r="AF342" s="771">
        <v>28.333333333333332</v>
      </c>
      <c r="AG342" s="747"/>
      <c r="AH342" s="757"/>
      <c r="AI342" s="771">
        <v>28.333333333333332</v>
      </c>
      <c r="AJ342" s="747"/>
      <c r="AK342" s="757"/>
      <c r="AL342" s="771">
        <v>28.333333333333332</v>
      </c>
      <c r="AM342" s="747"/>
      <c r="AN342" s="757"/>
      <c r="AO342" s="771">
        <v>28.333333333333332</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8596.9085593979999</v>
      </c>
      <c r="F343" s="747"/>
      <c r="G343" s="757"/>
      <c r="H343" s="771">
        <v>716.40904661649995</v>
      </c>
      <c r="I343" s="747"/>
      <c r="J343" s="757"/>
      <c r="K343" s="771">
        <v>716.40904661649995</v>
      </c>
      <c r="L343" s="747"/>
      <c r="M343" s="757"/>
      <c r="N343" s="771">
        <v>716.40904661649995</v>
      </c>
      <c r="O343" s="747"/>
      <c r="P343" s="757"/>
      <c r="Q343" s="771">
        <v>716.40904661649995</v>
      </c>
      <c r="R343" s="747"/>
      <c r="S343" s="757"/>
      <c r="T343" s="771">
        <v>716.40904661649995</v>
      </c>
      <c r="U343" s="747"/>
      <c r="V343" s="757"/>
      <c r="W343" s="771">
        <v>716.40904661649995</v>
      </c>
      <c r="X343" s="747"/>
      <c r="Y343" s="757"/>
      <c r="Z343" s="771">
        <v>716.40904661649995</v>
      </c>
      <c r="AA343" s="747"/>
      <c r="AB343" s="757"/>
      <c r="AC343" s="771">
        <v>716.40904661649995</v>
      </c>
      <c r="AD343" s="747"/>
      <c r="AE343" s="757"/>
      <c r="AF343" s="771">
        <v>716.40904661649995</v>
      </c>
      <c r="AG343" s="747"/>
      <c r="AH343" s="757"/>
      <c r="AI343" s="771">
        <v>716.40904661649995</v>
      </c>
      <c r="AJ343" s="747"/>
      <c r="AK343" s="757"/>
      <c r="AL343" s="771">
        <v>716.40904661649995</v>
      </c>
      <c r="AM343" s="747"/>
      <c r="AN343" s="757"/>
      <c r="AO343" s="771">
        <v>716.40904661649995</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1386.4889231060836</v>
      </c>
      <c r="F344" s="747"/>
      <c r="G344" s="757"/>
      <c r="H344" s="771">
        <v>115.54074359217363</v>
      </c>
      <c r="I344" s="747"/>
      <c r="J344" s="757"/>
      <c r="K344" s="771">
        <v>115.54074359217363</v>
      </c>
      <c r="L344" s="747"/>
      <c r="M344" s="757"/>
      <c r="N344" s="771">
        <v>115.54074359217363</v>
      </c>
      <c r="O344" s="747"/>
      <c r="P344" s="757"/>
      <c r="Q344" s="771">
        <v>115.54074359217363</v>
      </c>
      <c r="R344" s="747"/>
      <c r="S344" s="757"/>
      <c r="T344" s="771">
        <v>115.54074359217363</v>
      </c>
      <c r="U344" s="747"/>
      <c r="V344" s="757"/>
      <c r="W344" s="771">
        <v>115.54074359217363</v>
      </c>
      <c r="X344" s="747"/>
      <c r="Y344" s="757"/>
      <c r="Z344" s="771">
        <v>115.54074359217363</v>
      </c>
      <c r="AA344" s="747"/>
      <c r="AB344" s="757"/>
      <c r="AC344" s="771">
        <v>115.54074359217363</v>
      </c>
      <c r="AD344" s="747"/>
      <c r="AE344" s="757"/>
      <c r="AF344" s="771">
        <v>115.54074359217363</v>
      </c>
      <c r="AG344" s="747"/>
      <c r="AH344" s="757"/>
      <c r="AI344" s="771">
        <v>115.54074359217363</v>
      </c>
      <c r="AJ344" s="747"/>
      <c r="AK344" s="757"/>
      <c r="AL344" s="771">
        <v>115.54074359217363</v>
      </c>
      <c r="AM344" s="747"/>
      <c r="AN344" s="757"/>
      <c r="AO344" s="771">
        <v>115.54074359217363</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-373.32416954608357</v>
      </c>
      <c r="F345" s="747"/>
      <c r="G345" s="757"/>
      <c r="H345" s="771">
        <v>-31.110347462173621</v>
      </c>
      <c r="I345" s="747"/>
      <c r="J345" s="757"/>
      <c r="K345" s="771">
        <v>-31.110347462173621</v>
      </c>
      <c r="L345" s="747"/>
      <c r="M345" s="757"/>
      <c r="N345" s="771">
        <v>-31.110347462173621</v>
      </c>
      <c r="O345" s="747"/>
      <c r="P345" s="757"/>
      <c r="Q345" s="771">
        <v>-31.110347462173621</v>
      </c>
      <c r="R345" s="747"/>
      <c r="S345" s="757"/>
      <c r="T345" s="771">
        <v>-31.110347462173621</v>
      </c>
      <c r="U345" s="747"/>
      <c r="V345" s="757"/>
      <c r="W345" s="771">
        <v>-31.110347462173621</v>
      </c>
      <c r="X345" s="747"/>
      <c r="Y345" s="757"/>
      <c r="Z345" s="771">
        <v>-31.110347462173621</v>
      </c>
      <c r="AA345" s="747"/>
      <c r="AB345" s="757"/>
      <c r="AC345" s="771">
        <v>-31.110347462173621</v>
      </c>
      <c r="AD345" s="747"/>
      <c r="AE345" s="757"/>
      <c r="AF345" s="771">
        <v>-31.110347462173621</v>
      </c>
      <c r="AG345" s="747"/>
      <c r="AH345" s="757"/>
      <c r="AI345" s="771">
        <v>-31.110347462173621</v>
      </c>
      <c r="AJ345" s="747"/>
      <c r="AK345" s="757"/>
      <c r="AL345" s="771">
        <v>-31.110347462173621</v>
      </c>
      <c r="AM345" s="747"/>
      <c r="AN345" s="757"/>
      <c r="AO345" s="771">
        <v>-31.110347462173621</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1878.134119949417</v>
      </c>
      <c r="F346" s="747"/>
      <c r="G346" s="757"/>
      <c r="H346" s="771">
        <v>156.51117666245145</v>
      </c>
      <c r="I346" s="747"/>
      <c r="J346" s="757"/>
      <c r="K346" s="771">
        <v>156.51117666245145</v>
      </c>
      <c r="L346" s="747"/>
      <c r="M346" s="757"/>
      <c r="N346" s="771">
        <v>156.51117666245145</v>
      </c>
      <c r="O346" s="747"/>
      <c r="P346" s="757"/>
      <c r="Q346" s="771">
        <v>156.51117666245145</v>
      </c>
      <c r="R346" s="747"/>
      <c r="S346" s="757"/>
      <c r="T346" s="771">
        <v>156.51117666245145</v>
      </c>
      <c r="U346" s="747"/>
      <c r="V346" s="757"/>
      <c r="W346" s="771">
        <v>156.51117666245145</v>
      </c>
      <c r="X346" s="747"/>
      <c r="Y346" s="757"/>
      <c r="Z346" s="771">
        <v>156.51117666245145</v>
      </c>
      <c r="AA346" s="747"/>
      <c r="AB346" s="757"/>
      <c r="AC346" s="771">
        <v>156.51117666245145</v>
      </c>
      <c r="AD346" s="747"/>
      <c r="AE346" s="757"/>
      <c r="AF346" s="771">
        <v>156.51117666245145</v>
      </c>
      <c r="AG346" s="747"/>
      <c r="AH346" s="757"/>
      <c r="AI346" s="771">
        <v>156.51117666245145</v>
      </c>
      <c r="AJ346" s="747"/>
      <c r="AK346" s="757"/>
      <c r="AL346" s="771">
        <v>156.51117666245145</v>
      </c>
      <c r="AM346" s="747"/>
      <c r="AN346" s="757"/>
      <c r="AO346" s="771">
        <v>156.51117666245145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4547.4518545717601</v>
      </c>
      <c r="F347" s="747"/>
      <c r="G347" s="757"/>
      <c r="H347" s="771">
        <v>378.95432121431327</v>
      </c>
      <c r="I347" s="747"/>
      <c r="J347" s="757"/>
      <c r="K347" s="771">
        <v>378.95432121431327</v>
      </c>
      <c r="L347" s="747"/>
      <c r="M347" s="757"/>
      <c r="N347" s="771">
        <v>378.95432121431327</v>
      </c>
      <c r="O347" s="747"/>
      <c r="P347" s="757"/>
      <c r="Q347" s="771">
        <v>378.95432121431327</v>
      </c>
      <c r="R347" s="747"/>
      <c r="S347" s="757"/>
      <c r="T347" s="771">
        <v>378.95432121431327</v>
      </c>
      <c r="U347" s="747"/>
      <c r="V347" s="757"/>
      <c r="W347" s="771">
        <v>378.95432121431327</v>
      </c>
      <c r="X347" s="747"/>
      <c r="Y347" s="757"/>
      <c r="Z347" s="771">
        <v>378.95432121431327</v>
      </c>
      <c r="AA347" s="747"/>
      <c r="AB347" s="757"/>
      <c r="AC347" s="771">
        <v>378.95432121431327</v>
      </c>
      <c r="AD347" s="747"/>
      <c r="AE347" s="757"/>
      <c r="AF347" s="771">
        <v>378.95432121431327</v>
      </c>
      <c r="AG347" s="747"/>
      <c r="AH347" s="757"/>
      <c r="AI347" s="771">
        <v>378.95432121431327</v>
      </c>
      <c r="AJ347" s="747"/>
      <c r="AK347" s="757"/>
      <c r="AL347" s="771">
        <v>378.95432121431327</v>
      </c>
      <c r="AM347" s="747"/>
      <c r="AN347" s="757"/>
      <c r="AO347" s="771">
        <v>378.95432121431327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18920.901463836952</v>
      </c>
      <c r="F348" s="747"/>
      <c r="G348" s="757"/>
      <c r="H348" s="771">
        <v>1234.521043679066</v>
      </c>
      <c r="I348" s="747"/>
      <c r="J348" s="757"/>
      <c r="K348" s="771">
        <v>1190.304929325466</v>
      </c>
      <c r="L348" s="747"/>
      <c r="M348" s="757"/>
      <c r="N348" s="771">
        <v>1259.3481979621156</v>
      </c>
      <c r="O348" s="747"/>
      <c r="P348" s="757"/>
      <c r="Q348" s="771">
        <v>1650.1689027259927</v>
      </c>
      <c r="R348" s="747"/>
      <c r="S348" s="757"/>
      <c r="T348" s="771">
        <v>1754.3101197821436</v>
      </c>
      <c r="U348" s="747"/>
      <c r="V348" s="757"/>
      <c r="W348" s="771">
        <v>1634.2364306141619</v>
      </c>
      <c r="X348" s="747"/>
      <c r="Y348" s="757"/>
      <c r="Z348" s="771">
        <v>1597.3918737469346</v>
      </c>
      <c r="AA348" s="747"/>
      <c r="AB348" s="757"/>
      <c r="AC348" s="771">
        <v>1727.6594672908991</v>
      </c>
      <c r="AD348" s="747"/>
      <c r="AE348" s="757"/>
      <c r="AF348" s="771">
        <v>1405.2879790725349</v>
      </c>
      <c r="AG348" s="747"/>
      <c r="AH348" s="757"/>
      <c r="AI348" s="771">
        <v>1897.4004948242332</v>
      </c>
      <c r="AJ348" s="747"/>
      <c r="AK348" s="757"/>
      <c r="AL348" s="771">
        <v>2230.6282955484949</v>
      </c>
      <c r="AM348" s="747"/>
      <c r="AN348" s="757"/>
      <c r="AO348" s="771">
        <v>1339.6437292649105</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0.22114385433756997</v>
      </c>
      <c r="E352" s="779">
        <v>328171.04897743801</v>
      </c>
      <c r="F352" s="777" t="s">
        <v>119</v>
      </c>
      <c r="G352" s="778">
        <v>0.25079597437672768</v>
      </c>
      <c r="H352" s="779">
        <v>26727.172059947217</v>
      </c>
      <c r="I352" s="777" t="s">
        <v>119</v>
      </c>
      <c r="J352" s="778">
        <v>0.26221092273330721</v>
      </c>
      <c r="K352" s="779">
        <v>25164.330935604034</v>
      </c>
      <c r="L352" s="777" t="s">
        <v>119</v>
      </c>
      <c r="M352" s="778">
        <v>0.27751256174105077</v>
      </c>
      <c r="N352" s="779">
        <v>26355.96267003745</v>
      </c>
      <c r="O352" s="777" t="s">
        <v>119</v>
      </c>
      <c r="P352" s="778">
        <v>0.23456014655727001</v>
      </c>
      <c r="Q352" s="779">
        <v>30385.510800484532</v>
      </c>
      <c r="R352" s="777" t="s">
        <v>119</v>
      </c>
      <c r="S352" s="778">
        <v>0.21816097794382755</v>
      </c>
      <c r="T352" s="779">
        <v>28609.958103481822</v>
      </c>
      <c r="U352" s="777" t="s">
        <v>119</v>
      </c>
      <c r="V352" s="778">
        <v>0.21655190434311475</v>
      </c>
      <c r="W352" s="779">
        <v>25616.328419199825</v>
      </c>
      <c r="X352" s="777" t="s">
        <v>119</v>
      </c>
      <c r="Y352" s="778">
        <v>0.22082408776768847</v>
      </c>
      <c r="Z352" s="779">
        <v>25388.006419319758</v>
      </c>
      <c r="AA352" s="777" t="s">
        <v>119</v>
      </c>
      <c r="AB352" s="778">
        <v>0.20451856031577079</v>
      </c>
      <c r="AC352" s="779">
        <v>25507.431282284626</v>
      </c>
      <c r="AD352" s="777" t="s">
        <v>119</v>
      </c>
      <c r="AE352" s="778">
        <v>0.22560853178962853</v>
      </c>
      <c r="AF352" s="779">
        <v>26535.434574828549</v>
      </c>
      <c r="AG352" s="777" t="s">
        <v>119</v>
      </c>
      <c r="AH352" s="778">
        <v>0.1828018346014324</v>
      </c>
      <c r="AI352" s="779">
        <v>28597.517376484193</v>
      </c>
      <c r="AJ352" s="777" t="s">
        <v>119</v>
      </c>
      <c r="AK352" s="778">
        <v>0.18258976807718205</v>
      </c>
      <c r="AL352" s="779">
        <v>33220.065652588142</v>
      </c>
      <c r="AM352" s="777" t="s">
        <v>119</v>
      </c>
      <c r="AN352" s="778">
        <v>0.2331255821396569</v>
      </c>
      <c r="AO352" s="779">
        <v>26063.330683177726</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0.62354100287610281</v>
      </c>
      <c r="E354" s="789">
        <v>925316.71570639813</v>
      </c>
      <c r="F354" s="777" t="s">
        <v>119</v>
      </c>
      <c r="G354" s="815">
        <v>0.78286029322194173</v>
      </c>
      <c r="H354" s="789">
        <v>83428.937836193392</v>
      </c>
      <c r="I354" s="777" t="s">
        <v>119</v>
      </c>
      <c r="J354" s="815">
        <v>0.74457436818167411</v>
      </c>
      <c r="K354" s="789">
        <v>71456.656388600968</v>
      </c>
      <c r="L354" s="777" t="s">
        <v>119</v>
      </c>
      <c r="M354" s="815">
        <v>0.76494312863953429</v>
      </c>
      <c r="N354" s="789">
        <v>72648.288123034377</v>
      </c>
      <c r="O354" s="777" t="s">
        <v>119</v>
      </c>
      <c r="P354" s="815">
        <v>0.59191252789550475</v>
      </c>
      <c r="Q354" s="789">
        <v>76677.836253481451</v>
      </c>
      <c r="R354" s="777" t="s">
        <v>119</v>
      </c>
      <c r="S354" s="815">
        <v>0.65053185483030151</v>
      </c>
      <c r="T354" s="789">
        <v>85311.723879727986</v>
      </c>
      <c r="U354" s="777" t="s">
        <v>119</v>
      </c>
      <c r="V354" s="815">
        <v>0.60789179776063007</v>
      </c>
      <c r="W354" s="789">
        <v>71908.653872196752</v>
      </c>
      <c r="X354" s="777" t="s">
        <v>119</v>
      </c>
      <c r="Y354" s="815">
        <v>0.62347329030703824</v>
      </c>
      <c r="Z354" s="789">
        <v>71680.331872316689</v>
      </c>
      <c r="AA354" s="777" t="s">
        <v>119</v>
      </c>
      <c r="AB354" s="815">
        <v>0.65915326561335719</v>
      </c>
      <c r="AC354" s="789">
        <v>82209.197058530786</v>
      </c>
      <c r="AD354" s="777" t="s">
        <v>119</v>
      </c>
      <c r="AE354" s="815">
        <v>0.6191933268351707</v>
      </c>
      <c r="AF354" s="789">
        <v>72827.760027825483</v>
      </c>
      <c r="AG354" s="777" t="s">
        <v>119</v>
      </c>
      <c r="AH354" s="815">
        <v>0.54525241632786681</v>
      </c>
      <c r="AI354" s="789">
        <v>85299.283152730364</v>
      </c>
      <c r="AJ354" s="777" t="s">
        <v>119</v>
      </c>
      <c r="AK354" s="815">
        <v>0.43702951111115207</v>
      </c>
      <c r="AL354" s="789">
        <v>79512.391105585062</v>
      </c>
      <c r="AM354" s="777" t="s">
        <v>119</v>
      </c>
      <c r="AN354" s="815">
        <v>0.64719105408618327</v>
      </c>
      <c r="AO354" s="789">
        <v>72355.656136174657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558654.20431064197</v>
      </c>
      <c r="F356" s="816"/>
      <c r="G356" s="817"/>
      <c r="H356" s="798">
        <v>23140.444413138801</v>
      </c>
      <c r="I356" s="816"/>
      <c r="J356" s="817"/>
      <c r="K356" s="798">
        <v>24513.147894489448</v>
      </c>
      <c r="L356" s="816"/>
      <c r="M356" s="817"/>
      <c r="N356" s="798">
        <v>22323.854776321707</v>
      </c>
      <c r="O356" s="816"/>
      <c r="P356" s="817"/>
      <c r="Q356" s="798">
        <v>52864.676600745603</v>
      </c>
      <c r="R356" s="816"/>
      <c r="S356" s="817"/>
      <c r="T356" s="798">
        <v>45829.777103313812</v>
      </c>
      <c r="U356" s="816"/>
      <c r="V356" s="817"/>
      <c r="W356" s="798">
        <v>46383.210135667803</v>
      </c>
      <c r="X356" s="816"/>
      <c r="Y356" s="817"/>
      <c r="Z356" s="798">
        <v>43289.038887763018</v>
      </c>
      <c r="AA356" s="816"/>
      <c r="AB356" s="817"/>
      <c r="AC356" s="798">
        <v>42510.198789464062</v>
      </c>
      <c r="AD356" s="816"/>
      <c r="AE356" s="817"/>
      <c r="AF356" s="798">
        <v>44789.399058923256</v>
      </c>
      <c r="AG356" s="816"/>
      <c r="AH356" s="817"/>
      <c r="AI356" s="798">
        <v>71140.707938366206</v>
      </c>
      <c r="AJ356" s="816"/>
      <c r="AK356" s="817"/>
      <c r="AL356" s="798">
        <v>102425.87412374461</v>
      </c>
      <c r="AM356" s="816"/>
      <c r="AN356" s="817"/>
      <c r="AO356" s="798">
        <v>39443.874588703708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3933</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2025</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3933</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4482053.3331780229</v>
      </c>
      <c r="I406" s="873"/>
      <c r="J406" s="873"/>
      <c r="K406" s="874">
        <v>4829966.1848414261</v>
      </c>
      <c r="L406" s="873"/>
      <c r="M406" s="873"/>
      <c r="N406" s="874">
        <v>5153195.4550734181</v>
      </c>
      <c r="O406" s="873"/>
      <c r="P406" s="873"/>
      <c r="Q406" s="874">
        <v>5517580.6656092349</v>
      </c>
      <c r="R406" s="873"/>
      <c r="S406" s="873"/>
      <c r="T406" s="874">
        <v>6218544.1428936739</v>
      </c>
      <c r="U406" s="873"/>
      <c r="V406" s="873"/>
      <c r="W406" s="874">
        <v>6347743.5724750683</v>
      </c>
      <c r="X406" s="873"/>
      <c r="Y406" s="873"/>
      <c r="Z406" s="874">
        <v>6284852.3733866792</v>
      </c>
      <c r="AA406" s="873"/>
      <c r="AB406" s="873"/>
      <c r="AC406" s="874">
        <v>6998856.7929928433</v>
      </c>
      <c r="AD406" s="873"/>
      <c r="AE406" s="873"/>
      <c r="AF406" s="874">
        <v>5391184.2165118074</v>
      </c>
      <c r="AG406" s="873"/>
      <c r="AH406" s="873"/>
      <c r="AI406" s="874">
        <v>7025011.4297198504</v>
      </c>
      <c r="AJ406" s="873"/>
      <c r="AK406" s="873"/>
      <c r="AL406" s="874">
        <v>7681153.0316782119</v>
      </c>
      <c r="AM406" s="873"/>
      <c r="AN406" s="873"/>
      <c r="AO406" s="874">
        <v>5294550.2992112022</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2025</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71224691.497571439</v>
      </c>
      <c r="F409" s="878"/>
      <c r="G409" s="879"/>
      <c r="H409" s="880">
        <v>4482053.3331780229</v>
      </c>
      <c r="I409" s="878"/>
      <c r="J409" s="879"/>
      <c r="K409" s="880">
        <v>4829966.1848414261</v>
      </c>
      <c r="L409" s="878"/>
      <c r="M409" s="879"/>
      <c r="N409" s="880">
        <v>5153195.4550734181</v>
      </c>
      <c r="O409" s="878"/>
      <c r="P409" s="879"/>
      <c r="Q409" s="880">
        <v>5517580.6656092349</v>
      </c>
      <c r="R409" s="878"/>
      <c r="S409" s="879"/>
      <c r="T409" s="880">
        <v>6218544.1428936739</v>
      </c>
      <c r="U409" s="878"/>
      <c r="V409" s="879"/>
      <c r="W409" s="880">
        <v>6347743.5724750683</v>
      </c>
      <c r="X409" s="878"/>
      <c r="Y409" s="879"/>
      <c r="Z409" s="880">
        <v>6284852.3733866792</v>
      </c>
      <c r="AA409" s="878"/>
      <c r="AB409" s="879"/>
      <c r="AC409" s="880">
        <v>6998856.7929928433</v>
      </c>
      <c r="AD409" s="878"/>
      <c r="AE409" s="879"/>
      <c r="AF409" s="880">
        <v>5391184.2165118074</v>
      </c>
      <c r="AG409" s="878"/>
      <c r="AH409" s="879"/>
      <c r="AI409" s="880">
        <v>7025011.4297198504</v>
      </c>
      <c r="AJ409" s="878"/>
      <c r="AK409" s="879"/>
      <c r="AL409" s="880">
        <v>7681153.0316782119</v>
      </c>
      <c r="AM409" s="878"/>
      <c r="AN409" s="879"/>
      <c r="AO409" s="880">
        <v>5294550.2992112022</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8497668.2491439786</v>
      </c>
      <c r="F410" s="881"/>
      <c r="G410" s="882"/>
      <c r="H410" s="883">
        <v>554442.41363563016</v>
      </c>
      <c r="I410" s="881"/>
      <c r="J410" s="882"/>
      <c r="K410" s="883">
        <v>534584.27570487466</v>
      </c>
      <c r="L410" s="881"/>
      <c r="M410" s="882"/>
      <c r="N410" s="883">
        <v>565592.67098837288</v>
      </c>
      <c r="O410" s="881"/>
      <c r="P410" s="882"/>
      <c r="Q410" s="883">
        <v>741116.26854674181</v>
      </c>
      <c r="R410" s="881"/>
      <c r="S410" s="882"/>
      <c r="T410" s="883">
        <v>787887.69301066932</v>
      </c>
      <c r="U410" s="881"/>
      <c r="V410" s="882"/>
      <c r="W410" s="883">
        <v>733960.74994453136</v>
      </c>
      <c r="X410" s="881"/>
      <c r="Y410" s="882"/>
      <c r="Z410" s="883">
        <v>717413.29201062571</v>
      </c>
      <c r="AA410" s="881"/>
      <c r="AB410" s="882"/>
      <c r="AC410" s="883">
        <v>775918.47452884051</v>
      </c>
      <c r="AD410" s="881"/>
      <c r="AE410" s="882"/>
      <c r="AF410" s="883">
        <v>631136.47431081475</v>
      </c>
      <c r="AG410" s="881"/>
      <c r="AH410" s="882"/>
      <c r="AI410" s="883">
        <v>852151.78418398125</v>
      </c>
      <c r="AJ410" s="881"/>
      <c r="AK410" s="882"/>
      <c r="AL410" s="883">
        <v>1001809.5215470088</v>
      </c>
      <c r="AM410" s="881"/>
      <c r="AN410" s="882"/>
      <c r="AO410" s="883">
        <v>601654.63073188812</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0.32790033729050083</v>
      </c>
      <c r="D412" s="888">
        <v>660.78696242911201</v>
      </c>
      <c r="E412" s="886">
        <v>786997.27225307235</v>
      </c>
      <c r="F412" s="889"/>
      <c r="G412" s="888">
        <v>749.76904232426602</v>
      </c>
      <c r="H412" s="886">
        <v>58481.985301292749</v>
      </c>
      <c r="I412" s="889"/>
      <c r="J412" s="888">
        <v>709.38726538167566</v>
      </c>
      <c r="K412" s="886">
        <v>54622.819434389028</v>
      </c>
      <c r="L412" s="889"/>
      <c r="M412" s="888">
        <v>703.93622103083999</v>
      </c>
      <c r="N412" s="886">
        <v>53499.152798343835</v>
      </c>
      <c r="O412" s="889"/>
      <c r="P412" s="888">
        <v>698.06389563417122</v>
      </c>
      <c r="Q412" s="886">
        <v>60033.495024538723</v>
      </c>
      <c r="R412" s="889"/>
      <c r="S412" s="888">
        <v>679.50765774804984</v>
      </c>
      <c r="T412" s="886">
        <v>67271.258117056932</v>
      </c>
      <c r="U412" s="889"/>
      <c r="V412" s="888">
        <v>671.85449906338499</v>
      </c>
      <c r="W412" s="886">
        <v>71888.431399782188</v>
      </c>
      <c r="X412" s="889"/>
      <c r="Y412" s="888">
        <v>682.58990525002469</v>
      </c>
      <c r="Z412" s="886">
        <v>70306.760240752541</v>
      </c>
      <c r="AA412" s="889"/>
      <c r="AB412" s="888">
        <v>706.55789613616662</v>
      </c>
      <c r="AC412" s="886">
        <v>80547.60015952299</v>
      </c>
      <c r="AD412" s="889"/>
      <c r="AE412" s="888">
        <v>713.93938442037711</v>
      </c>
      <c r="AF412" s="886">
        <v>59970.90829131168</v>
      </c>
      <c r="AG412" s="889"/>
      <c r="AH412" s="888">
        <v>676.41383021283934</v>
      </c>
      <c r="AI412" s="886">
        <v>75081.935153625163</v>
      </c>
      <c r="AJ412" s="889"/>
      <c r="AK412" s="888">
        <v>674.88577714511337</v>
      </c>
      <c r="AL412" s="886">
        <v>79636.521703123377</v>
      </c>
      <c r="AM412" s="889"/>
      <c r="AN412" s="888">
        <v>704.51145100421672</v>
      </c>
      <c r="AO412" s="886">
        <v>55656.404629333119</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0.28936806432321083</v>
      </c>
      <c r="D413" s="891">
        <v>384.69081272084804</v>
      </c>
      <c r="E413" s="880">
        <v>435470</v>
      </c>
      <c r="F413" s="892"/>
      <c r="G413" s="891">
        <v>368.84615384615387</v>
      </c>
      <c r="H413" s="880">
        <v>28770</v>
      </c>
      <c r="I413" s="892"/>
      <c r="J413" s="891">
        <v>385.06493506493507</v>
      </c>
      <c r="K413" s="880">
        <v>29650</v>
      </c>
      <c r="L413" s="892"/>
      <c r="M413" s="891">
        <v>394.07894736842104</v>
      </c>
      <c r="N413" s="880">
        <v>29950</v>
      </c>
      <c r="O413" s="892"/>
      <c r="P413" s="891">
        <v>387.55813953488371</v>
      </c>
      <c r="Q413" s="880">
        <v>33330</v>
      </c>
      <c r="R413" s="892"/>
      <c r="S413" s="891">
        <v>402.82828282828285</v>
      </c>
      <c r="T413" s="880">
        <v>39880</v>
      </c>
      <c r="U413" s="892"/>
      <c r="V413" s="891">
        <v>393.45794392523362</v>
      </c>
      <c r="W413" s="880">
        <v>42100</v>
      </c>
      <c r="X413" s="892"/>
      <c r="Y413" s="891">
        <v>386.60194174757282</v>
      </c>
      <c r="Z413" s="880">
        <v>39820</v>
      </c>
      <c r="AA413" s="892"/>
      <c r="AB413" s="891">
        <v>366.14035087719299</v>
      </c>
      <c r="AC413" s="880">
        <v>41740</v>
      </c>
      <c r="AD413" s="892"/>
      <c r="AE413" s="891">
        <v>372.85714285714283</v>
      </c>
      <c r="AF413" s="880">
        <v>31320</v>
      </c>
      <c r="AG413" s="892"/>
      <c r="AH413" s="891">
        <v>397.29729729729729</v>
      </c>
      <c r="AI413" s="880">
        <v>44100</v>
      </c>
      <c r="AJ413" s="892"/>
      <c r="AK413" s="891">
        <v>375.50847457627117</v>
      </c>
      <c r="AL413" s="880">
        <v>44310</v>
      </c>
      <c r="AM413" s="892"/>
      <c r="AN413" s="891">
        <v>386.07594936708858</v>
      </c>
      <c r="AO413" s="880">
        <v>30500</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83.89399293286219</v>
      </c>
      <c r="E414" s="886">
        <v>94968</v>
      </c>
      <c r="F414" s="889"/>
      <c r="G414" s="888">
        <v>90.615384615384613</v>
      </c>
      <c r="H414" s="886">
        <v>7068</v>
      </c>
      <c r="I414" s="889"/>
      <c r="J414" s="888">
        <v>84.740259740259745</v>
      </c>
      <c r="K414" s="886">
        <v>6525</v>
      </c>
      <c r="L414" s="889"/>
      <c r="M414" s="888">
        <v>81.526315789473685</v>
      </c>
      <c r="N414" s="886">
        <v>6196</v>
      </c>
      <c r="O414" s="889"/>
      <c r="P414" s="888">
        <v>82.930232558139537</v>
      </c>
      <c r="Q414" s="886">
        <v>7132</v>
      </c>
      <c r="R414" s="889"/>
      <c r="S414" s="888">
        <v>74.090909090909093</v>
      </c>
      <c r="T414" s="886">
        <v>7335</v>
      </c>
      <c r="U414" s="889"/>
      <c r="V414" s="888">
        <v>81.299065420560751</v>
      </c>
      <c r="W414" s="886">
        <v>8699</v>
      </c>
      <c r="X414" s="889"/>
      <c r="Y414" s="888">
        <v>84.145631067961162</v>
      </c>
      <c r="Z414" s="886">
        <v>8667</v>
      </c>
      <c r="AA414" s="889"/>
      <c r="AB414" s="888">
        <v>90.877192982456137</v>
      </c>
      <c r="AC414" s="886">
        <v>10360</v>
      </c>
      <c r="AD414" s="889"/>
      <c r="AE414" s="888">
        <v>88.535714285714292</v>
      </c>
      <c r="AF414" s="886">
        <v>7437</v>
      </c>
      <c r="AG414" s="889"/>
      <c r="AH414" s="888">
        <v>77.621621621621628</v>
      </c>
      <c r="AI414" s="886">
        <v>8616</v>
      </c>
      <c r="AJ414" s="889"/>
      <c r="AK414" s="888">
        <v>87.16101694915254</v>
      </c>
      <c r="AL414" s="886">
        <v>10285</v>
      </c>
      <c r="AM414" s="889"/>
      <c r="AN414" s="888">
        <v>84.151898734177209</v>
      </c>
      <c r="AO414" s="886">
        <v>6648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21.815371024734983</v>
      </c>
      <c r="E415" s="886">
        <v>24695</v>
      </c>
      <c r="F415" s="889"/>
      <c r="G415" s="888">
        <v>19.807692307692307</v>
      </c>
      <c r="H415" s="886">
        <v>1545</v>
      </c>
      <c r="I415" s="889"/>
      <c r="J415" s="888">
        <v>21.753246753246753</v>
      </c>
      <c r="K415" s="886">
        <v>1675</v>
      </c>
      <c r="L415" s="889"/>
      <c r="M415" s="888">
        <v>22.828947368421051</v>
      </c>
      <c r="N415" s="886">
        <v>1735</v>
      </c>
      <c r="O415" s="889"/>
      <c r="P415" s="888">
        <v>22.151162790697676</v>
      </c>
      <c r="Q415" s="886">
        <v>1905</v>
      </c>
      <c r="R415" s="889"/>
      <c r="S415" s="888">
        <v>24.343434343434343</v>
      </c>
      <c r="T415" s="886">
        <v>2410</v>
      </c>
      <c r="U415" s="889"/>
      <c r="V415" s="888">
        <v>22.803738317757009</v>
      </c>
      <c r="W415" s="886">
        <v>2440</v>
      </c>
      <c r="X415" s="889"/>
      <c r="Y415" s="888">
        <v>21.941747572815533</v>
      </c>
      <c r="Z415" s="886">
        <v>2260</v>
      </c>
      <c r="AA415" s="889"/>
      <c r="AB415" s="888">
        <v>19.561403508771932</v>
      </c>
      <c r="AC415" s="886">
        <v>2230</v>
      </c>
      <c r="AD415" s="889"/>
      <c r="AE415" s="888">
        <v>20.357142857142858</v>
      </c>
      <c r="AF415" s="886">
        <v>1710</v>
      </c>
      <c r="AG415" s="889"/>
      <c r="AH415" s="888">
        <v>23.513513513513512</v>
      </c>
      <c r="AI415" s="886">
        <v>2610</v>
      </c>
      <c r="AJ415" s="889"/>
      <c r="AK415" s="888">
        <v>20.720338983050848</v>
      </c>
      <c r="AL415" s="886">
        <v>2445</v>
      </c>
      <c r="AM415" s="889"/>
      <c r="AN415" s="888">
        <v>21.898734177215189</v>
      </c>
      <c r="AO415" s="886">
        <v>1730</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137.77385159010601</v>
      </c>
      <c r="E416" s="880">
        <v>155960</v>
      </c>
      <c r="F416" s="892"/>
      <c r="G416" s="891">
        <v>135.96153846153845</v>
      </c>
      <c r="H416" s="880">
        <v>10605</v>
      </c>
      <c r="I416" s="892"/>
      <c r="J416" s="891">
        <v>138.19805194805195</v>
      </c>
      <c r="K416" s="880">
        <v>10641.25</v>
      </c>
      <c r="L416" s="892"/>
      <c r="M416" s="891">
        <v>139.46052631578948</v>
      </c>
      <c r="N416" s="880">
        <v>10599</v>
      </c>
      <c r="O416" s="892"/>
      <c r="P416" s="891">
        <v>138.19767441860466</v>
      </c>
      <c r="Q416" s="880">
        <v>11885</v>
      </c>
      <c r="R416" s="892"/>
      <c r="S416" s="891">
        <v>139.04797979797979</v>
      </c>
      <c r="T416" s="880">
        <v>13765.75</v>
      </c>
      <c r="U416" s="892"/>
      <c r="V416" s="891">
        <v>139.20327102803739</v>
      </c>
      <c r="W416" s="880">
        <v>14894.75</v>
      </c>
      <c r="X416" s="892"/>
      <c r="Y416" s="891">
        <v>138.39563106796118</v>
      </c>
      <c r="Z416" s="880">
        <v>14254.75</v>
      </c>
      <c r="AA416" s="892"/>
      <c r="AB416" s="891">
        <v>135.31578947368422</v>
      </c>
      <c r="AC416" s="880">
        <v>15426</v>
      </c>
      <c r="AD416" s="892"/>
      <c r="AE416" s="891">
        <v>136.27678571428572</v>
      </c>
      <c r="AF416" s="880">
        <v>11447.25</v>
      </c>
      <c r="AG416" s="892"/>
      <c r="AH416" s="891">
        <v>138.86486486486487</v>
      </c>
      <c r="AI416" s="880">
        <v>15414</v>
      </c>
      <c r="AJ416" s="892"/>
      <c r="AK416" s="891">
        <v>136.48516949152543</v>
      </c>
      <c r="AL416" s="880">
        <v>16105.25</v>
      </c>
      <c r="AM416" s="892"/>
      <c r="AN416" s="891">
        <v>138.25316455696202</v>
      </c>
      <c r="AO416" s="880">
        <v>10922</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201.26148409893992</v>
      </c>
      <c r="E417" s="886">
        <v>227828</v>
      </c>
      <c r="F417" s="889"/>
      <c r="G417" s="888">
        <v>239.02564102564102</v>
      </c>
      <c r="H417" s="886">
        <v>18644</v>
      </c>
      <c r="I417" s="889"/>
      <c r="J417" s="888">
        <v>243.42857142857142</v>
      </c>
      <c r="K417" s="886">
        <v>18744</v>
      </c>
      <c r="L417" s="889"/>
      <c r="M417" s="888">
        <v>405.84210526315792</v>
      </c>
      <c r="N417" s="886">
        <v>30844</v>
      </c>
      <c r="O417" s="889"/>
      <c r="P417" s="888">
        <v>207.48837209302326</v>
      </c>
      <c r="Q417" s="886">
        <v>17844</v>
      </c>
      <c r="R417" s="889"/>
      <c r="S417" s="888">
        <v>168.12121212121212</v>
      </c>
      <c r="T417" s="886">
        <v>16644</v>
      </c>
      <c r="U417" s="889"/>
      <c r="V417" s="888">
        <v>146.20560747663552</v>
      </c>
      <c r="W417" s="886">
        <v>15644</v>
      </c>
      <c r="X417" s="889"/>
      <c r="Y417" s="888">
        <v>155.76699029126215</v>
      </c>
      <c r="Z417" s="886">
        <v>16044</v>
      </c>
      <c r="AA417" s="889"/>
      <c r="AB417" s="888">
        <v>131.08771929824562</v>
      </c>
      <c r="AC417" s="886">
        <v>14944</v>
      </c>
      <c r="AD417" s="889"/>
      <c r="AE417" s="888">
        <v>214.8095238095238</v>
      </c>
      <c r="AF417" s="886">
        <v>18044</v>
      </c>
      <c r="AG417" s="889"/>
      <c r="AH417" s="888">
        <v>246.34234234234233</v>
      </c>
      <c r="AI417" s="886">
        <v>27344</v>
      </c>
      <c r="AJ417" s="889"/>
      <c r="AK417" s="888">
        <v>123.2542372881356</v>
      </c>
      <c r="AL417" s="886">
        <v>14544</v>
      </c>
      <c r="AM417" s="889"/>
      <c r="AN417" s="888">
        <v>234.73417721518987</v>
      </c>
      <c r="AO417" s="886">
        <v>18544</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469.84717314487631</v>
      </c>
      <c r="E418" s="886">
        <v>531867</v>
      </c>
      <c r="F418" s="889"/>
      <c r="G418" s="888">
        <v>531.77094680005905</v>
      </c>
      <c r="H418" s="886">
        <v>41478.133850404607</v>
      </c>
      <c r="I418" s="889"/>
      <c r="J418" s="888">
        <v>533.38128849956968</v>
      </c>
      <c r="K418" s="886">
        <v>41070.359214466866</v>
      </c>
      <c r="L418" s="889"/>
      <c r="M418" s="888">
        <v>564.90309782130043</v>
      </c>
      <c r="N418" s="886">
        <v>42932.635434418837</v>
      </c>
      <c r="O418" s="889"/>
      <c r="P418" s="888">
        <v>519.12375212798781</v>
      </c>
      <c r="Q418" s="886">
        <v>44644.642683006954</v>
      </c>
      <c r="R418" s="889"/>
      <c r="S418" s="888">
        <v>467.4317295632116</v>
      </c>
      <c r="T418" s="886">
        <v>46275.741226757949</v>
      </c>
      <c r="U418" s="889"/>
      <c r="V418" s="888">
        <v>429.49780439895875</v>
      </c>
      <c r="W418" s="886">
        <v>45956.265070688583</v>
      </c>
      <c r="X418" s="889"/>
      <c r="Y418" s="888">
        <v>467.21290012432121</v>
      </c>
      <c r="Z418" s="886">
        <v>48122.928712805086</v>
      </c>
      <c r="AA418" s="889"/>
      <c r="AB418" s="888">
        <v>376.25564431455683</v>
      </c>
      <c r="AC418" s="886">
        <v>42893.143451859476</v>
      </c>
      <c r="AD418" s="889"/>
      <c r="AE418" s="888">
        <v>557.14365560304032</v>
      </c>
      <c r="AF418" s="886">
        <v>46800.067070655386</v>
      </c>
      <c r="AG418" s="889"/>
      <c r="AH418" s="888">
        <v>438.2635545648875</v>
      </c>
      <c r="AI418" s="886">
        <v>48647.254556702515</v>
      </c>
      <c r="AJ418" s="889"/>
      <c r="AK418" s="888">
        <v>356.812899731838</v>
      </c>
      <c r="AL418" s="886">
        <v>42103.922168356883</v>
      </c>
      <c r="AM418" s="889"/>
      <c r="AN418" s="888">
        <v>518.25198177059281</v>
      </c>
      <c r="AO418" s="886">
        <v>40941.906559876836</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0.26569468306561778</v>
      </c>
      <c r="D422" s="894">
        <v>1960.0696479414794</v>
      </c>
      <c r="E422" s="895">
        <v>2257785.2722530724</v>
      </c>
      <c r="F422" s="893">
        <v>0.30046784851704866</v>
      </c>
      <c r="G422" s="896"/>
      <c r="H422" s="895">
        <v>166592.11915169735</v>
      </c>
      <c r="I422" s="893">
        <v>0.30477594656899898</v>
      </c>
      <c r="J422" s="896"/>
      <c r="K422" s="895">
        <v>162928.42864885589</v>
      </c>
      <c r="L422" s="893">
        <v>0.31074622647713862</v>
      </c>
      <c r="M422" s="896"/>
      <c r="N422" s="895">
        <v>175755.78823276266</v>
      </c>
      <c r="O422" s="893">
        <v>0.23852416309006796</v>
      </c>
      <c r="P422" s="896"/>
      <c r="Q422" s="895">
        <v>176774.13770754565</v>
      </c>
      <c r="R422" s="893">
        <v>0.24569713559568626</v>
      </c>
      <c r="S422" s="896"/>
      <c r="T422" s="895">
        <v>193581.74934381485</v>
      </c>
      <c r="U422" s="893">
        <v>0.27470467117718256</v>
      </c>
      <c r="V422" s="896"/>
      <c r="W422" s="895">
        <v>201622.44647047078</v>
      </c>
      <c r="X422" s="893">
        <v>0.27804815045244963</v>
      </c>
      <c r="Y422" s="896"/>
      <c r="Z422" s="895">
        <v>199475.43895355763</v>
      </c>
      <c r="AA422" s="893">
        <v>0.26825078979820832</v>
      </c>
      <c r="AB422" s="896"/>
      <c r="AC422" s="895">
        <v>208140.74361138247</v>
      </c>
      <c r="AD422" s="893">
        <v>0.28001744876961981</v>
      </c>
      <c r="AE422" s="896"/>
      <c r="AF422" s="895">
        <v>176729.22536196705</v>
      </c>
      <c r="AG422" s="893">
        <v>0.2602977472173405</v>
      </c>
      <c r="AH422" s="896"/>
      <c r="AI422" s="895">
        <v>221813.18971032766</v>
      </c>
      <c r="AJ422" s="893">
        <v>0.20905141083913428</v>
      </c>
      <c r="AK422" s="896"/>
      <c r="AL422" s="895">
        <v>209429.69387148027</v>
      </c>
      <c r="AM422" s="893">
        <v>0.27414782960876477</v>
      </c>
      <c r="AN422" s="896"/>
      <c r="AO422" s="895">
        <v>164942.31118920996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185344.49999999997</v>
      </c>
      <c r="F423" s="889"/>
      <c r="G423" s="888"/>
      <c r="H423" s="897">
        <v>17433.836538461539</v>
      </c>
      <c r="I423" s="889"/>
      <c r="J423" s="888"/>
      <c r="K423" s="897">
        <v>14451.14423076923</v>
      </c>
      <c r="L423" s="889"/>
      <c r="M423" s="888"/>
      <c r="N423" s="897">
        <v>14451.14423076923</v>
      </c>
      <c r="O423" s="889"/>
      <c r="P423" s="888"/>
      <c r="Q423" s="897">
        <v>14451.14423076923</v>
      </c>
      <c r="R423" s="889"/>
      <c r="S423" s="888"/>
      <c r="T423" s="897">
        <v>17433.836538461539</v>
      </c>
      <c r="U423" s="889"/>
      <c r="V423" s="888"/>
      <c r="W423" s="897">
        <v>14451.14423076923</v>
      </c>
      <c r="X423" s="889"/>
      <c r="Y423" s="888"/>
      <c r="Z423" s="897">
        <v>14451.14423076923</v>
      </c>
      <c r="AA423" s="889"/>
      <c r="AB423" s="888"/>
      <c r="AC423" s="897">
        <v>17433.836538461539</v>
      </c>
      <c r="AD423" s="889"/>
      <c r="AE423" s="888"/>
      <c r="AF423" s="897">
        <v>14451.14423076923</v>
      </c>
      <c r="AG423" s="889"/>
      <c r="AH423" s="888"/>
      <c r="AI423" s="897">
        <v>17433.836538461539</v>
      </c>
      <c r="AJ423" s="889"/>
      <c r="AK423" s="888"/>
      <c r="AL423" s="897">
        <v>14451.14423076923</v>
      </c>
      <c r="AM423" s="889"/>
      <c r="AN423" s="888"/>
      <c r="AO423" s="897">
        <v>14451.14423076923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717152</v>
      </c>
      <c r="F424" s="889"/>
      <c r="G424" s="888"/>
      <c r="H424" s="886">
        <v>66080.858974358984</v>
      </c>
      <c r="I424" s="889"/>
      <c r="J424" s="888"/>
      <c r="K424" s="886">
        <v>56603.570512820515</v>
      </c>
      <c r="L424" s="889"/>
      <c r="M424" s="888"/>
      <c r="N424" s="886">
        <v>56603.570512820515</v>
      </c>
      <c r="O424" s="889"/>
      <c r="P424" s="888"/>
      <c r="Q424" s="886">
        <v>56603.570512820515</v>
      </c>
      <c r="R424" s="889"/>
      <c r="S424" s="888"/>
      <c r="T424" s="886">
        <v>66080.858974358984</v>
      </c>
      <c r="U424" s="889"/>
      <c r="V424" s="888"/>
      <c r="W424" s="886">
        <v>56603.570512820515</v>
      </c>
      <c r="X424" s="889"/>
      <c r="Y424" s="888"/>
      <c r="Z424" s="886">
        <v>56603.570512820515</v>
      </c>
      <c r="AA424" s="889"/>
      <c r="AB424" s="888"/>
      <c r="AC424" s="886">
        <v>66080.858974358984</v>
      </c>
      <c r="AD424" s="889"/>
      <c r="AE424" s="888"/>
      <c r="AF424" s="886">
        <v>56603.570512820515</v>
      </c>
      <c r="AG424" s="889"/>
      <c r="AH424" s="888"/>
      <c r="AI424" s="886">
        <v>66080.858974358984</v>
      </c>
      <c r="AJ424" s="889"/>
      <c r="AK424" s="888"/>
      <c r="AL424" s="886">
        <v>56603.570512820515</v>
      </c>
      <c r="AM424" s="889"/>
      <c r="AN424" s="888"/>
      <c r="AO424" s="886">
        <v>56603.570512820515</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802495.26399999997</v>
      </c>
      <c r="F425" s="892"/>
      <c r="G425" s="891"/>
      <c r="H425" s="880">
        <v>76615.390769230769</v>
      </c>
      <c r="I425" s="892"/>
      <c r="J425" s="891"/>
      <c r="K425" s="880">
        <v>62004.212615384618</v>
      </c>
      <c r="L425" s="892"/>
      <c r="M425" s="891"/>
      <c r="N425" s="880">
        <v>62004.212615384618</v>
      </c>
      <c r="O425" s="892"/>
      <c r="P425" s="891"/>
      <c r="Q425" s="880">
        <v>62004.212615384618</v>
      </c>
      <c r="R425" s="892"/>
      <c r="S425" s="891"/>
      <c r="T425" s="880">
        <v>76615.390769230769</v>
      </c>
      <c r="U425" s="892"/>
      <c r="V425" s="891"/>
      <c r="W425" s="880">
        <v>62004.212615384618</v>
      </c>
      <c r="X425" s="892"/>
      <c r="Y425" s="891"/>
      <c r="Z425" s="880">
        <v>62004.212615384618</v>
      </c>
      <c r="AA425" s="892"/>
      <c r="AB425" s="891"/>
      <c r="AC425" s="880">
        <v>76615.390769230769</v>
      </c>
      <c r="AD425" s="892"/>
      <c r="AE425" s="891"/>
      <c r="AF425" s="880">
        <v>62004.212615384618</v>
      </c>
      <c r="AG425" s="892"/>
      <c r="AH425" s="891"/>
      <c r="AI425" s="880">
        <v>76615.390769230769</v>
      </c>
      <c r="AJ425" s="892"/>
      <c r="AK425" s="891"/>
      <c r="AL425" s="880">
        <v>62004.212615384618</v>
      </c>
      <c r="AM425" s="892"/>
      <c r="AN425" s="891"/>
      <c r="AO425" s="880">
        <v>62004.212615384618</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253318</v>
      </c>
      <c r="F426" s="889"/>
      <c r="G426" s="888"/>
      <c r="H426" s="886">
        <v>24357.5</v>
      </c>
      <c r="I426" s="889"/>
      <c r="J426" s="888"/>
      <c r="K426" s="886">
        <v>19486</v>
      </c>
      <c r="L426" s="889"/>
      <c r="M426" s="888"/>
      <c r="N426" s="886">
        <v>19486</v>
      </c>
      <c r="O426" s="889"/>
      <c r="P426" s="888"/>
      <c r="Q426" s="886">
        <v>19486</v>
      </c>
      <c r="R426" s="889"/>
      <c r="S426" s="888"/>
      <c r="T426" s="886">
        <v>24357.5</v>
      </c>
      <c r="U426" s="889"/>
      <c r="V426" s="888"/>
      <c r="W426" s="886">
        <v>19486</v>
      </c>
      <c r="X426" s="889"/>
      <c r="Y426" s="888"/>
      <c r="Z426" s="886">
        <v>19486</v>
      </c>
      <c r="AA426" s="889"/>
      <c r="AB426" s="888"/>
      <c r="AC426" s="886">
        <v>24357.5</v>
      </c>
      <c r="AD426" s="889"/>
      <c r="AE426" s="888"/>
      <c r="AF426" s="886">
        <v>19486</v>
      </c>
      <c r="AG426" s="889"/>
      <c r="AH426" s="888"/>
      <c r="AI426" s="886">
        <v>24357.5</v>
      </c>
      <c r="AJ426" s="889"/>
      <c r="AK426" s="888"/>
      <c r="AL426" s="886">
        <v>19486</v>
      </c>
      <c r="AM426" s="889"/>
      <c r="AN426" s="888"/>
      <c r="AO426" s="886">
        <v>19486</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364410.51199999993</v>
      </c>
      <c r="F427" s="889"/>
      <c r="G427" s="888"/>
      <c r="H427" s="886">
        <v>27038.791267692308</v>
      </c>
      <c r="I427" s="889"/>
      <c r="J427" s="888"/>
      <c r="K427" s="886">
        <v>22603.078374153847</v>
      </c>
      <c r="L427" s="889"/>
      <c r="M427" s="888"/>
      <c r="N427" s="886">
        <v>24741.578166153842</v>
      </c>
      <c r="O427" s="889"/>
      <c r="P427" s="888"/>
      <c r="Q427" s="886">
        <v>34267.622694153848</v>
      </c>
      <c r="R427" s="889"/>
      <c r="S427" s="888"/>
      <c r="T427" s="886">
        <v>37148.063011692306</v>
      </c>
      <c r="U427" s="889"/>
      <c r="V427" s="888"/>
      <c r="W427" s="886">
        <v>26685.668886153846</v>
      </c>
      <c r="X427" s="889"/>
      <c r="Y427" s="888"/>
      <c r="Z427" s="886">
        <v>26685.668886153846</v>
      </c>
      <c r="AA427" s="889"/>
      <c r="AB427" s="888"/>
      <c r="AC427" s="886">
        <v>29954.927347692312</v>
      </c>
      <c r="AD427" s="889"/>
      <c r="AE427" s="888"/>
      <c r="AF427" s="886">
        <v>25713.623526153846</v>
      </c>
      <c r="AG427" s="889"/>
      <c r="AH427" s="888"/>
      <c r="AI427" s="886">
        <v>37731.290227692305</v>
      </c>
      <c r="AJ427" s="889"/>
      <c r="AK427" s="888"/>
      <c r="AL427" s="886">
        <v>44182.485366153844</v>
      </c>
      <c r="AM427" s="889"/>
      <c r="AN427" s="888"/>
      <c r="AO427" s="886">
        <v>27657.714246153846</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0.11014736401195369</v>
      </c>
      <c r="E431" s="880">
        <v>513889.31929034612</v>
      </c>
      <c r="F431" s="892"/>
      <c r="G431" s="898">
        <v>0.11138984223223725</v>
      </c>
      <c r="H431" s="880">
        <v>40851.018164011308</v>
      </c>
      <c r="I431" s="892"/>
      <c r="J431" s="898">
        <v>0.10776608722725012</v>
      </c>
      <c r="K431" s="880">
        <v>34766.414348550854</v>
      </c>
      <c r="L431" s="892"/>
      <c r="M431" s="898">
        <v>0.11779448414357888</v>
      </c>
      <c r="N431" s="880">
        <v>39408.532905082262</v>
      </c>
      <c r="O431" s="892"/>
      <c r="P431" s="898">
        <v>0.1188317984089961</v>
      </c>
      <c r="Q431" s="880">
        <v>46156.693902893116</v>
      </c>
      <c r="R431" s="892"/>
      <c r="S431" s="898">
        <v>0.1159399880390808</v>
      </c>
      <c r="T431" s="880">
        <v>50874.026198030195</v>
      </c>
      <c r="U431" s="892"/>
      <c r="V431" s="898">
        <v>0.10562290300567331</v>
      </c>
      <c r="W431" s="880">
        <v>40407.6020174925</v>
      </c>
      <c r="X431" s="892"/>
      <c r="Y431" s="898">
        <v>0.10593139520165165</v>
      </c>
      <c r="Z431" s="880">
        <v>40379.47450759507</v>
      </c>
      <c r="AA431" s="892"/>
      <c r="AB431" s="898">
        <v>0.10464298644455408</v>
      </c>
      <c r="AC431" s="880">
        <v>45615.408166221452</v>
      </c>
      <c r="AD431" s="892"/>
      <c r="AE431" s="898">
        <v>0.1140491263140605</v>
      </c>
      <c r="AF431" s="880">
        <v>40224.346062570352</v>
      </c>
      <c r="AG431" s="892"/>
      <c r="AH431" s="898">
        <v>0.10901049043239308</v>
      </c>
      <c r="AI431" s="880">
        <v>49347.747293735192</v>
      </c>
      <c r="AJ431" s="892"/>
      <c r="AK431" s="898">
        <v>0.10668796274517099</v>
      </c>
      <c r="AL431" s="880">
        <v>49703.901498454761</v>
      </c>
      <c r="AM431" s="892"/>
      <c r="AN431" s="898">
        <v>0.1052752458418561</v>
      </c>
      <c r="AO431" s="880">
        <v>36154.154225709033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0.13392366725682472</v>
      </c>
      <c r="E432" s="886">
        <v>624816.96970984805</v>
      </c>
      <c r="F432" s="889"/>
      <c r="G432" s="899">
        <v>0.1354343456215748</v>
      </c>
      <c r="H432" s="886">
        <v>49669.079353599649</v>
      </c>
      <c r="I432" s="889"/>
      <c r="J432" s="899">
        <v>0.13102837037322038</v>
      </c>
      <c r="K432" s="886">
        <v>42271.058855506759</v>
      </c>
      <c r="L432" s="889"/>
      <c r="M432" s="899">
        <v>0.1432214873287567</v>
      </c>
      <c r="N432" s="886">
        <v>47915.220624681511</v>
      </c>
      <c r="O432" s="889"/>
      <c r="P432" s="899">
        <v>0.14448271524618028</v>
      </c>
      <c r="Q432" s="886">
        <v>56120.03311541189</v>
      </c>
      <c r="R432" s="889"/>
      <c r="S432" s="899">
        <v>0.14096668149245067</v>
      </c>
      <c r="T432" s="886">
        <v>61855.644187913364</v>
      </c>
      <c r="U432" s="889"/>
      <c r="V432" s="899">
        <v>0.12842256048266887</v>
      </c>
      <c r="W432" s="886">
        <v>49129.947827435812</v>
      </c>
      <c r="X432" s="889"/>
      <c r="Y432" s="899">
        <v>0.12879764350509187</v>
      </c>
      <c r="Z432" s="886">
        <v>49095.74874051207</v>
      </c>
      <c r="AA432" s="889"/>
      <c r="AB432" s="899">
        <v>0.12723112008236531</v>
      </c>
      <c r="AC432" s="886">
        <v>55461.905964216392</v>
      </c>
      <c r="AD432" s="889"/>
      <c r="AE432" s="899">
        <v>0.13866766018802068</v>
      </c>
      <c r="AF432" s="886">
        <v>48907.134419689057</v>
      </c>
      <c r="AG432" s="889"/>
      <c r="AH432" s="899">
        <v>0.132541389248196</v>
      </c>
      <c r="AI432" s="886">
        <v>59999.904198550284</v>
      </c>
      <c r="AJ432" s="889"/>
      <c r="AK432" s="899">
        <v>0.12971752298531802</v>
      </c>
      <c r="AL432" s="886">
        <v>60432.937504729132</v>
      </c>
      <c r="AM432" s="889"/>
      <c r="AN432" s="899">
        <v>0.12799985838040653</v>
      </c>
      <c r="AO432" s="886">
        <v>43958.35491760217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6.8999802477972744E-2</v>
      </c>
      <c r="E433" s="886">
        <v>321916.56917659566</v>
      </c>
      <c r="F433" s="889"/>
      <c r="G433" s="899">
        <v>6.9778130244159187E-2</v>
      </c>
      <c r="H433" s="886">
        <v>25590.373493050251</v>
      </c>
      <c r="I433" s="889"/>
      <c r="J433" s="899">
        <v>6.7508095170550494E-2</v>
      </c>
      <c r="K433" s="886">
        <v>21778.78467120674</v>
      </c>
      <c r="L433" s="889"/>
      <c r="M433" s="899">
        <v>7.3790201080250722E-2</v>
      </c>
      <c r="N433" s="886">
        <v>24686.754974020692</v>
      </c>
      <c r="O433" s="889"/>
      <c r="P433" s="899">
        <v>7.4440007637705932E-2</v>
      </c>
      <c r="Q433" s="886">
        <v>28914.017061636128</v>
      </c>
      <c r="R433" s="889"/>
      <c r="S433" s="899">
        <v>7.2628485899371306E-2</v>
      </c>
      <c r="T433" s="886">
        <v>31869.10363594666</v>
      </c>
      <c r="U433" s="889"/>
      <c r="V433" s="899">
        <v>6.6165536596505481E-2</v>
      </c>
      <c r="W433" s="886">
        <v>25312.603554570189</v>
      </c>
      <c r="X433" s="889"/>
      <c r="Y433" s="899">
        <v>6.6358785892840819E-2</v>
      </c>
      <c r="Z433" s="886">
        <v>25294.983590220349</v>
      </c>
      <c r="AA433" s="889"/>
      <c r="AB433" s="899">
        <v>6.5551685781566463E-2</v>
      </c>
      <c r="AC433" s="886">
        <v>28574.938507650611</v>
      </c>
      <c r="AD433" s="889"/>
      <c r="AE433" s="899">
        <v>7.1443990140349786E-2</v>
      </c>
      <c r="AF433" s="886">
        <v>25197.806211883275</v>
      </c>
      <c r="AG433" s="889"/>
      <c r="AH433" s="899">
        <v>6.8287628808309672E-2</v>
      </c>
      <c r="AI433" s="886">
        <v>30912.994119687857</v>
      </c>
      <c r="AJ433" s="889"/>
      <c r="AK433" s="899">
        <v>6.6832723798957328E-2</v>
      </c>
      <c r="AL433" s="886">
        <v>31136.100410045223</v>
      </c>
      <c r="AM433" s="889"/>
      <c r="AN433" s="899">
        <v>6.5947753122079011E-2</v>
      </c>
      <c r="AO433" s="886">
        <v>22648.108946677639</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3.0084302064938881E-2</v>
      </c>
      <c r="E434" s="886">
        <v>140357.43522467598</v>
      </c>
      <c r="F434" s="889"/>
      <c r="G434" s="899">
        <v>3.0423657349774043E-2</v>
      </c>
      <c r="H434" s="886">
        <v>11157.54681131586</v>
      </c>
      <c r="I434" s="889"/>
      <c r="J434" s="899">
        <v>2.9433909286737909E-2</v>
      </c>
      <c r="K434" s="886">
        <v>9495.6726414544155</v>
      </c>
      <c r="L434" s="889"/>
      <c r="M434" s="899">
        <v>3.217294280573519E-2</v>
      </c>
      <c r="N434" s="886">
        <v>10763.564053370483</v>
      </c>
      <c r="O434" s="889"/>
      <c r="P434" s="899">
        <v>3.2456262120518754E-2</v>
      </c>
      <c r="Q434" s="886">
        <v>12606.674105636004</v>
      </c>
      <c r="R434" s="889"/>
      <c r="S434" s="899">
        <v>3.1666428451202683E-2</v>
      </c>
      <c r="T434" s="886">
        <v>13895.108476995028</v>
      </c>
      <c r="U434" s="889"/>
      <c r="V434" s="899">
        <v>2.8848546195382137E-2</v>
      </c>
      <c r="W434" s="886">
        <v>11036.437555438479</v>
      </c>
      <c r="X434" s="889"/>
      <c r="Y434" s="899">
        <v>2.8932803975781504E-2</v>
      </c>
      <c r="Z434" s="886">
        <v>11028.755151854159</v>
      </c>
      <c r="AA434" s="889"/>
      <c r="AB434" s="899">
        <v>2.8580903786618286E-2</v>
      </c>
      <c r="AC434" s="886">
        <v>12458.833948483389</v>
      </c>
      <c r="AD434" s="889"/>
      <c r="AE434" s="899">
        <v>3.1149981636439426E-2</v>
      </c>
      <c r="AF434" s="886">
        <v>10986.385268191019</v>
      </c>
      <c r="AG434" s="889"/>
      <c r="AH434" s="899">
        <v>2.9773790338362863E-2</v>
      </c>
      <c r="AI434" s="886">
        <v>13478.239348949697</v>
      </c>
      <c r="AJ434" s="889"/>
      <c r="AK434" s="899">
        <v>2.9139443569165639E-2</v>
      </c>
      <c r="AL434" s="886">
        <v>13575.514946714513</v>
      </c>
      <c r="AM434" s="889"/>
      <c r="AN434" s="899">
        <v>2.8753591375308703E-2</v>
      </c>
      <c r="AO434" s="886">
        <v>9874.7029162729486</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0.46173849747508372</v>
      </c>
      <c r="D436" s="900"/>
      <c r="E436" s="895">
        <v>3923700.5694014658</v>
      </c>
      <c r="F436" s="893">
        <v>0.61105425385867107</v>
      </c>
      <c r="G436" s="900"/>
      <c r="H436" s="895">
        <v>338794.39537172066</v>
      </c>
      <c r="I436" s="893">
        <v>0.53024368491963525</v>
      </c>
      <c r="J436" s="900"/>
      <c r="K436" s="895">
        <v>283459.936249847</v>
      </c>
      <c r="L436" s="893">
        <v>0.53052416248238765</v>
      </c>
      <c r="M436" s="900"/>
      <c r="N436" s="895">
        <v>300060.57808228314</v>
      </c>
      <c r="O436" s="893">
        <v>0.44609730250153584</v>
      </c>
      <c r="P436" s="900"/>
      <c r="Q436" s="895">
        <v>330609.96823870536</v>
      </c>
      <c r="R436" s="893">
        <v>0.48246664488447749</v>
      </c>
      <c r="S436" s="900"/>
      <c r="T436" s="895">
        <v>380129.53179262881</v>
      </c>
      <c r="U436" s="893">
        <v>0.41571322066353578</v>
      </c>
      <c r="V436" s="900"/>
      <c r="W436" s="895">
        <v>305117.18720006518</v>
      </c>
      <c r="X436" s="893">
        <v>0.42517968600837125</v>
      </c>
      <c r="Y436" s="900"/>
      <c r="Z436" s="895">
        <v>305029.55823530979</v>
      </c>
      <c r="AA436" s="893">
        <v>0.45952456594466945</v>
      </c>
      <c r="AB436" s="900"/>
      <c r="AC436" s="895">
        <v>356553.60021631548</v>
      </c>
      <c r="AD436" s="893">
        <v>0.48099616359355135</v>
      </c>
      <c r="AE436" s="900"/>
      <c r="AF436" s="895">
        <v>303574.22284746188</v>
      </c>
      <c r="AG436" s="893">
        <v>0.44118638069939969</v>
      </c>
      <c r="AH436" s="900"/>
      <c r="AI436" s="895">
        <v>375957.76147066662</v>
      </c>
      <c r="AJ436" s="893">
        <v>0.35094083208768401</v>
      </c>
      <c r="AK436" s="900"/>
      <c r="AL436" s="895">
        <v>351575.86708507186</v>
      </c>
      <c r="AM436" s="893">
        <v>0.48672103172407172</v>
      </c>
      <c r="AN436" s="900"/>
      <c r="AO436" s="895">
        <v>292837.96261138999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193427</v>
      </c>
      <c r="F437" s="901"/>
      <c r="G437" s="902"/>
      <c r="H437" s="903">
        <v>15567.374011479942</v>
      </c>
      <c r="I437" s="901"/>
      <c r="J437" s="902"/>
      <c r="K437" s="903">
        <v>12556.580701543739</v>
      </c>
      <c r="L437" s="901"/>
      <c r="M437" s="902"/>
      <c r="N437" s="903">
        <v>14782.200469688883</v>
      </c>
      <c r="O437" s="901"/>
      <c r="P437" s="902"/>
      <c r="Q437" s="903">
        <v>21996.263268512084</v>
      </c>
      <c r="R437" s="901"/>
      <c r="S437" s="902"/>
      <c r="T437" s="903">
        <v>18269.622508647986</v>
      </c>
      <c r="U437" s="901"/>
      <c r="V437" s="902"/>
      <c r="W437" s="903">
        <v>12572.572144729857</v>
      </c>
      <c r="X437" s="901"/>
      <c r="Y437" s="902"/>
      <c r="Z437" s="903">
        <v>12192.953081014641</v>
      </c>
      <c r="AA437" s="901"/>
      <c r="AB437" s="902"/>
      <c r="AC437" s="903">
        <v>12171.456516376076</v>
      </c>
      <c r="AD437" s="901"/>
      <c r="AE437" s="902"/>
      <c r="AF437" s="903">
        <v>14848.680537501306</v>
      </c>
      <c r="AG437" s="901"/>
      <c r="AH437" s="902"/>
      <c r="AI437" s="903">
        <v>17961.269888068269</v>
      </c>
      <c r="AJ437" s="901"/>
      <c r="AK437" s="902"/>
      <c r="AL437" s="903">
        <v>26465.184486138867</v>
      </c>
      <c r="AM437" s="901"/>
      <c r="AN437" s="902"/>
      <c r="AO437" s="903">
        <v>14042.842386298358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54544.5739536685</v>
      </c>
      <c r="F438" s="889"/>
      <c r="G438" s="888"/>
      <c r="H438" s="886">
        <v>4545.3811628057083</v>
      </c>
      <c r="I438" s="889"/>
      <c r="J438" s="888"/>
      <c r="K438" s="886">
        <v>4545.3811628057083</v>
      </c>
      <c r="L438" s="889"/>
      <c r="M438" s="888"/>
      <c r="N438" s="886">
        <v>4545.3811628057083</v>
      </c>
      <c r="O438" s="889"/>
      <c r="P438" s="888"/>
      <c r="Q438" s="886">
        <v>4545.3811628057083</v>
      </c>
      <c r="R438" s="889"/>
      <c r="S438" s="888"/>
      <c r="T438" s="886">
        <v>4545.3811628057083</v>
      </c>
      <c r="U438" s="889"/>
      <c r="V438" s="888"/>
      <c r="W438" s="886">
        <v>4545.3811628057083</v>
      </c>
      <c r="X438" s="889"/>
      <c r="Y438" s="888"/>
      <c r="Z438" s="886">
        <v>4545.3811628057083</v>
      </c>
      <c r="AA438" s="889"/>
      <c r="AB438" s="888"/>
      <c r="AC438" s="886">
        <v>4545.3811628057083</v>
      </c>
      <c r="AD438" s="889"/>
      <c r="AE438" s="888"/>
      <c r="AF438" s="886">
        <v>4545.3811628057083</v>
      </c>
      <c r="AG438" s="889"/>
      <c r="AH438" s="888"/>
      <c r="AI438" s="886">
        <v>4545.3811628057083</v>
      </c>
      <c r="AJ438" s="889"/>
      <c r="AK438" s="888"/>
      <c r="AL438" s="886">
        <v>4545.3811628057083</v>
      </c>
      <c r="AM438" s="889"/>
      <c r="AN438" s="888"/>
      <c r="AO438" s="886">
        <v>4545.3811628057083</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296511.17600000009</v>
      </c>
      <c r="F439" s="892"/>
      <c r="G439" s="891"/>
      <c r="H439" s="880">
        <v>22709.26466666667</v>
      </c>
      <c r="I439" s="892"/>
      <c r="J439" s="891"/>
      <c r="K439" s="880">
        <v>22709.26466666667</v>
      </c>
      <c r="L439" s="892"/>
      <c r="M439" s="891"/>
      <c r="N439" s="880">
        <v>25709.26466666667</v>
      </c>
      <c r="O439" s="892"/>
      <c r="P439" s="891"/>
      <c r="Q439" s="880">
        <v>27709.26466666667</v>
      </c>
      <c r="R439" s="892"/>
      <c r="S439" s="891"/>
      <c r="T439" s="880">
        <v>27709.26466666667</v>
      </c>
      <c r="U439" s="892"/>
      <c r="V439" s="891"/>
      <c r="W439" s="880">
        <v>22709.26466666667</v>
      </c>
      <c r="X439" s="892"/>
      <c r="Y439" s="891"/>
      <c r="Z439" s="880">
        <v>22709.26466666667</v>
      </c>
      <c r="AA439" s="892"/>
      <c r="AB439" s="891"/>
      <c r="AC439" s="880">
        <v>22709.26466666667</v>
      </c>
      <c r="AD439" s="892"/>
      <c r="AE439" s="891"/>
      <c r="AF439" s="880">
        <v>22709.26466666667</v>
      </c>
      <c r="AG439" s="892"/>
      <c r="AH439" s="891"/>
      <c r="AI439" s="880">
        <v>25709.26466666667</v>
      </c>
      <c r="AJ439" s="892"/>
      <c r="AK439" s="891"/>
      <c r="AL439" s="880">
        <v>30709.264666666666</v>
      </c>
      <c r="AM439" s="892"/>
      <c r="AN439" s="891"/>
      <c r="AO439" s="880">
        <v>22709.26466666667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268824.9617253333</v>
      </c>
      <c r="F440" s="889"/>
      <c r="G440" s="888"/>
      <c r="H440" s="886">
        <v>22402.080143777777</v>
      </c>
      <c r="I440" s="889"/>
      <c r="J440" s="888"/>
      <c r="K440" s="886">
        <v>22402.080143777777</v>
      </c>
      <c r="L440" s="889"/>
      <c r="M440" s="888"/>
      <c r="N440" s="886">
        <v>22402.080143777777</v>
      </c>
      <c r="O440" s="889"/>
      <c r="P440" s="888"/>
      <c r="Q440" s="886">
        <v>22402.080143777777</v>
      </c>
      <c r="R440" s="889"/>
      <c r="S440" s="888"/>
      <c r="T440" s="886">
        <v>22402.080143777777</v>
      </c>
      <c r="U440" s="889"/>
      <c r="V440" s="888"/>
      <c r="W440" s="886">
        <v>22402.080143777777</v>
      </c>
      <c r="X440" s="889"/>
      <c r="Y440" s="888"/>
      <c r="Z440" s="886">
        <v>22402.080143777777</v>
      </c>
      <c r="AA440" s="889"/>
      <c r="AB440" s="888"/>
      <c r="AC440" s="886">
        <v>22402.080143777777</v>
      </c>
      <c r="AD440" s="889"/>
      <c r="AE440" s="888"/>
      <c r="AF440" s="886">
        <v>22402.080143777777</v>
      </c>
      <c r="AG440" s="889"/>
      <c r="AH440" s="888"/>
      <c r="AI440" s="886">
        <v>22402.080143777777</v>
      </c>
      <c r="AJ440" s="889"/>
      <c r="AK440" s="888"/>
      <c r="AL440" s="886">
        <v>22402.080143777777</v>
      </c>
      <c r="AM440" s="889"/>
      <c r="AN440" s="888"/>
      <c r="AO440" s="886">
        <v>22402.080143777777</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46866.691589833332</v>
      </c>
      <c r="F441" s="889"/>
      <c r="G441" s="888"/>
      <c r="H441" s="886">
        <v>3905.5576324861113</v>
      </c>
      <c r="I441" s="889"/>
      <c r="J441" s="888"/>
      <c r="K441" s="886">
        <v>3905.5576324861113</v>
      </c>
      <c r="L441" s="889"/>
      <c r="M441" s="888"/>
      <c r="N441" s="886">
        <v>3905.5576324861113</v>
      </c>
      <c r="O441" s="889"/>
      <c r="P441" s="888"/>
      <c r="Q441" s="886">
        <v>3905.5576324861113</v>
      </c>
      <c r="R441" s="889"/>
      <c r="S441" s="888"/>
      <c r="T441" s="886">
        <v>3905.5576324861113</v>
      </c>
      <c r="U441" s="889"/>
      <c r="V441" s="888"/>
      <c r="W441" s="886">
        <v>3905.5576324861113</v>
      </c>
      <c r="X441" s="889"/>
      <c r="Y441" s="888"/>
      <c r="Z441" s="886">
        <v>3905.5576324861113</v>
      </c>
      <c r="AA441" s="889"/>
      <c r="AB441" s="888"/>
      <c r="AC441" s="886">
        <v>3905.5576324861113</v>
      </c>
      <c r="AD441" s="889"/>
      <c r="AE441" s="888"/>
      <c r="AF441" s="886">
        <v>3905.5576324861113</v>
      </c>
      <c r="AG441" s="889"/>
      <c r="AH441" s="888"/>
      <c r="AI441" s="886">
        <v>3905.5576324861113</v>
      </c>
      <c r="AJ441" s="889"/>
      <c r="AK441" s="888"/>
      <c r="AL441" s="886">
        <v>3905.5576324861113</v>
      </c>
      <c r="AM441" s="889"/>
      <c r="AN441" s="888"/>
      <c r="AO441" s="886">
        <v>3905.5576324861113</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415016.65517131129</v>
      </c>
      <c r="F442" s="904"/>
      <c r="G442" s="905"/>
      <c r="H442" s="906">
        <v>32918.054597609284</v>
      </c>
      <c r="I442" s="904"/>
      <c r="J442" s="905"/>
      <c r="K442" s="906">
        <v>32918.054597609284</v>
      </c>
      <c r="L442" s="904"/>
      <c r="M442" s="905"/>
      <c r="N442" s="906">
        <v>32918.054597609284</v>
      </c>
      <c r="O442" s="904"/>
      <c r="P442" s="905"/>
      <c r="Q442" s="906">
        <v>36918.054597609284</v>
      </c>
      <c r="R442" s="904"/>
      <c r="S442" s="905"/>
      <c r="T442" s="906">
        <v>36918.054597609284</v>
      </c>
      <c r="U442" s="904"/>
      <c r="V442" s="905"/>
      <c r="W442" s="906">
        <v>32918.054597609284</v>
      </c>
      <c r="X442" s="904"/>
      <c r="Y442" s="905"/>
      <c r="Z442" s="906">
        <v>32918.054597609284</v>
      </c>
      <c r="AA442" s="904"/>
      <c r="AB442" s="905"/>
      <c r="AC442" s="906">
        <v>36918.054597609284</v>
      </c>
      <c r="AD442" s="904"/>
      <c r="AE442" s="905"/>
      <c r="AF442" s="906">
        <v>32918.054597609284</v>
      </c>
      <c r="AG442" s="904"/>
      <c r="AH442" s="905"/>
      <c r="AI442" s="906">
        <v>36918.054597609284</v>
      </c>
      <c r="AJ442" s="904"/>
      <c r="AK442" s="905"/>
      <c r="AL442" s="906">
        <v>36918.054597609284</v>
      </c>
      <c r="AM442" s="904"/>
      <c r="AN442" s="905"/>
      <c r="AO442" s="906">
        <v>32918.054597609284</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63032.281866666694</v>
      </c>
      <c r="F444" s="889"/>
      <c r="G444" s="888"/>
      <c r="H444" s="886">
        <v>5252.6901555555569</v>
      </c>
      <c r="I444" s="889"/>
      <c r="J444" s="888"/>
      <c r="K444" s="886">
        <v>5252.6901555555569</v>
      </c>
      <c r="L444" s="889"/>
      <c r="M444" s="888"/>
      <c r="N444" s="886">
        <v>5252.6901555555569</v>
      </c>
      <c r="O444" s="889"/>
      <c r="P444" s="888"/>
      <c r="Q444" s="886">
        <v>5252.6901555555569</v>
      </c>
      <c r="R444" s="889"/>
      <c r="S444" s="888"/>
      <c r="T444" s="886">
        <v>5252.6901555555569</v>
      </c>
      <c r="U444" s="889"/>
      <c r="V444" s="888"/>
      <c r="W444" s="886">
        <v>5252.6901555555569</v>
      </c>
      <c r="X444" s="889"/>
      <c r="Y444" s="888"/>
      <c r="Z444" s="886">
        <v>5252.6901555555569</v>
      </c>
      <c r="AA444" s="889"/>
      <c r="AB444" s="888"/>
      <c r="AC444" s="886">
        <v>5252.6901555555569</v>
      </c>
      <c r="AD444" s="889"/>
      <c r="AE444" s="888"/>
      <c r="AF444" s="886">
        <v>5252.6901555555569</v>
      </c>
      <c r="AG444" s="889"/>
      <c r="AH444" s="888"/>
      <c r="AI444" s="886">
        <v>5252.6901555555569</v>
      </c>
      <c r="AJ444" s="889"/>
      <c r="AK444" s="888"/>
      <c r="AL444" s="886">
        <v>5252.6901555555569</v>
      </c>
      <c r="AM444" s="889"/>
      <c r="AN444" s="888"/>
      <c r="AO444" s="886">
        <v>5252.6901555555569</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16005.584881437002</v>
      </c>
      <c r="F445" s="889"/>
      <c r="G445" s="888"/>
      <c r="H445" s="886">
        <v>1333.7987401197504</v>
      </c>
      <c r="I445" s="889"/>
      <c r="J445" s="888"/>
      <c r="K445" s="886">
        <v>1333.7987401197504</v>
      </c>
      <c r="L445" s="889"/>
      <c r="M445" s="888"/>
      <c r="N445" s="886">
        <v>1333.7987401197504</v>
      </c>
      <c r="O445" s="889"/>
      <c r="P445" s="888"/>
      <c r="Q445" s="886">
        <v>1333.7987401197504</v>
      </c>
      <c r="R445" s="889"/>
      <c r="S445" s="888"/>
      <c r="T445" s="886">
        <v>1333.7987401197504</v>
      </c>
      <c r="U445" s="889"/>
      <c r="V445" s="888"/>
      <c r="W445" s="886">
        <v>1333.7987401197504</v>
      </c>
      <c r="X445" s="889"/>
      <c r="Y445" s="888"/>
      <c r="Z445" s="886">
        <v>1333.7987401197504</v>
      </c>
      <c r="AA445" s="889"/>
      <c r="AB445" s="888"/>
      <c r="AC445" s="886">
        <v>1333.7987401197504</v>
      </c>
      <c r="AD445" s="889"/>
      <c r="AE445" s="888"/>
      <c r="AF445" s="886">
        <v>1333.7987401197504</v>
      </c>
      <c r="AG445" s="889"/>
      <c r="AH445" s="888"/>
      <c r="AI445" s="886">
        <v>1333.7987401197504</v>
      </c>
      <c r="AJ445" s="889"/>
      <c r="AK445" s="888"/>
      <c r="AL445" s="886">
        <v>1333.7987401197504</v>
      </c>
      <c r="AM445" s="889"/>
      <c r="AN445" s="888"/>
      <c r="AO445" s="886">
        <v>1333.7987401197504</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33129.004625591995</v>
      </c>
      <c r="F446" s="889"/>
      <c r="G446" s="888"/>
      <c r="H446" s="886">
        <v>2760.7503854659999</v>
      </c>
      <c r="I446" s="889"/>
      <c r="J446" s="888"/>
      <c r="K446" s="886">
        <v>2760.7503854659999</v>
      </c>
      <c r="L446" s="889"/>
      <c r="M446" s="888"/>
      <c r="N446" s="886">
        <v>2760.7503854659999</v>
      </c>
      <c r="O446" s="889"/>
      <c r="P446" s="888"/>
      <c r="Q446" s="886">
        <v>2760.7503854659999</v>
      </c>
      <c r="R446" s="889"/>
      <c r="S446" s="888"/>
      <c r="T446" s="886">
        <v>2760.7503854659999</v>
      </c>
      <c r="U446" s="889"/>
      <c r="V446" s="888"/>
      <c r="W446" s="886">
        <v>2760.7503854659999</v>
      </c>
      <c r="X446" s="889"/>
      <c r="Y446" s="888"/>
      <c r="Z446" s="886">
        <v>2760.7503854659999</v>
      </c>
      <c r="AA446" s="889"/>
      <c r="AB446" s="888"/>
      <c r="AC446" s="886">
        <v>2760.7503854659999</v>
      </c>
      <c r="AD446" s="889"/>
      <c r="AE446" s="888"/>
      <c r="AF446" s="886">
        <v>2760.7503854659999</v>
      </c>
      <c r="AG446" s="889"/>
      <c r="AH446" s="888"/>
      <c r="AI446" s="886">
        <v>2760.7503854659999</v>
      </c>
      <c r="AJ446" s="889"/>
      <c r="AK446" s="888"/>
      <c r="AL446" s="886">
        <v>2760.7503854659999</v>
      </c>
      <c r="AM446" s="889"/>
      <c r="AN446" s="888"/>
      <c r="AO446" s="886">
        <v>2760.7503854659999</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8816.1691244243357</v>
      </c>
      <c r="F447" s="889"/>
      <c r="G447" s="888"/>
      <c r="H447" s="886">
        <v>734.68076036869445</v>
      </c>
      <c r="I447" s="889"/>
      <c r="J447" s="888"/>
      <c r="K447" s="886">
        <v>734.68076036869445</v>
      </c>
      <c r="L447" s="889"/>
      <c r="M447" s="888"/>
      <c r="N447" s="886">
        <v>734.68076036869445</v>
      </c>
      <c r="O447" s="889"/>
      <c r="P447" s="888"/>
      <c r="Q447" s="886">
        <v>734.68076036869445</v>
      </c>
      <c r="R447" s="889"/>
      <c r="S447" s="888"/>
      <c r="T447" s="886">
        <v>734.68076036869445</v>
      </c>
      <c r="U447" s="889"/>
      <c r="V447" s="888"/>
      <c r="W447" s="886">
        <v>734.68076036869445</v>
      </c>
      <c r="X447" s="889"/>
      <c r="Y447" s="888"/>
      <c r="Z447" s="886">
        <v>734.68076036869445</v>
      </c>
      <c r="AA447" s="889"/>
      <c r="AB447" s="888"/>
      <c r="AC447" s="886">
        <v>734.68076036869445</v>
      </c>
      <c r="AD447" s="889"/>
      <c r="AE447" s="888"/>
      <c r="AF447" s="886">
        <v>734.68076036869445</v>
      </c>
      <c r="AG447" s="889"/>
      <c r="AH447" s="888"/>
      <c r="AI447" s="886">
        <v>734.68076036869445</v>
      </c>
      <c r="AJ447" s="889"/>
      <c r="AK447" s="888"/>
      <c r="AL447" s="886">
        <v>734.68076036869445</v>
      </c>
      <c r="AM447" s="889"/>
      <c r="AN447" s="888"/>
      <c r="AO447" s="886">
        <v>734.68076036869445</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2822.5387458156652</v>
      </c>
      <c r="F448" s="889"/>
      <c r="G448" s="888"/>
      <c r="H448" s="886">
        <v>235.21156215130546</v>
      </c>
      <c r="I448" s="889"/>
      <c r="J448" s="888"/>
      <c r="K448" s="886">
        <v>235.21156215130546</v>
      </c>
      <c r="L448" s="889"/>
      <c r="M448" s="888"/>
      <c r="N448" s="886">
        <v>235.21156215130546</v>
      </c>
      <c r="O448" s="889"/>
      <c r="P448" s="888"/>
      <c r="Q448" s="886">
        <v>235.21156215130546</v>
      </c>
      <c r="R448" s="889"/>
      <c r="S448" s="888"/>
      <c r="T448" s="886">
        <v>235.21156215130546</v>
      </c>
      <c r="U448" s="889"/>
      <c r="V448" s="888"/>
      <c r="W448" s="886">
        <v>235.21156215130546</v>
      </c>
      <c r="X448" s="889"/>
      <c r="Y448" s="888"/>
      <c r="Z448" s="886">
        <v>235.21156215130546</v>
      </c>
      <c r="AA448" s="889"/>
      <c r="AB448" s="888"/>
      <c r="AC448" s="886">
        <v>235.21156215130546</v>
      </c>
      <c r="AD448" s="889"/>
      <c r="AE448" s="888"/>
      <c r="AF448" s="886">
        <v>235.21156215130546</v>
      </c>
      <c r="AG448" s="889"/>
      <c r="AH448" s="888"/>
      <c r="AI448" s="886">
        <v>235.21156215130546</v>
      </c>
      <c r="AJ448" s="889"/>
      <c r="AK448" s="888"/>
      <c r="AL448" s="886">
        <v>235.21156215130546</v>
      </c>
      <c r="AM448" s="889"/>
      <c r="AN448" s="888"/>
      <c r="AO448" s="886">
        <v>235.21156215130546</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8644.6703837976675</v>
      </c>
      <c r="F449" s="889"/>
      <c r="G449" s="888"/>
      <c r="H449" s="886">
        <v>720.38919864980562</v>
      </c>
      <c r="I449" s="889"/>
      <c r="J449" s="888"/>
      <c r="K449" s="886">
        <v>720.38919864980562</v>
      </c>
      <c r="L449" s="889"/>
      <c r="M449" s="888"/>
      <c r="N449" s="886">
        <v>720.38919864980562</v>
      </c>
      <c r="O449" s="889"/>
      <c r="P449" s="888"/>
      <c r="Q449" s="886">
        <v>720.38919864980562</v>
      </c>
      <c r="R449" s="889"/>
      <c r="S449" s="888"/>
      <c r="T449" s="886">
        <v>720.38919864980562</v>
      </c>
      <c r="U449" s="889"/>
      <c r="V449" s="888"/>
      <c r="W449" s="886">
        <v>720.38919864980562</v>
      </c>
      <c r="X449" s="889"/>
      <c r="Y449" s="888"/>
      <c r="Z449" s="886">
        <v>720.38919864980562</v>
      </c>
      <c r="AA449" s="889"/>
      <c r="AB449" s="888"/>
      <c r="AC449" s="886">
        <v>720.38919864980562</v>
      </c>
      <c r="AD449" s="889"/>
      <c r="AE449" s="888"/>
      <c r="AF449" s="886">
        <v>720.38919864980562</v>
      </c>
      <c r="AG449" s="889"/>
      <c r="AH449" s="888"/>
      <c r="AI449" s="886">
        <v>720.38919864980562</v>
      </c>
      <c r="AJ449" s="889"/>
      <c r="AK449" s="888"/>
      <c r="AL449" s="886">
        <v>720.38919864980562</v>
      </c>
      <c r="AM449" s="889"/>
      <c r="AN449" s="888"/>
      <c r="AO449" s="886">
        <v>720.38919864980562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69289.644522609175</v>
      </c>
      <c r="F450" s="889"/>
      <c r="G450" s="888"/>
      <c r="H450" s="886">
        <v>5774.1370435507661</v>
      </c>
      <c r="I450" s="889"/>
      <c r="J450" s="888"/>
      <c r="K450" s="886">
        <v>5774.1370435507661</v>
      </c>
      <c r="L450" s="889"/>
      <c r="M450" s="888"/>
      <c r="N450" s="886">
        <v>5774.1370435507661</v>
      </c>
      <c r="O450" s="889"/>
      <c r="P450" s="888"/>
      <c r="Q450" s="886">
        <v>5774.1370435507661</v>
      </c>
      <c r="R450" s="889"/>
      <c r="S450" s="888"/>
      <c r="T450" s="886">
        <v>5774.1370435507661</v>
      </c>
      <c r="U450" s="889"/>
      <c r="V450" s="888"/>
      <c r="W450" s="886">
        <v>5774.1370435507661</v>
      </c>
      <c r="X450" s="889"/>
      <c r="Y450" s="888"/>
      <c r="Z450" s="886">
        <v>5774.1370435507661</v>
      </c>
      <c r="AA450" s="889"/>
      <c r="AB450" s="888"/>
      <c r="AC450" s="886">
        <v>5774.1370435507661</v>
      </c>
      <c r="AD450" s="889"/>
      <c r="AE450" s="888"/>
      <c r="AF450" s="886">
        <v>5774.1370435507661</v>
      </c>
      <c r="AG450" s="889"/>
      <c r="AH450" s="888"/>
      <c r="AI450" s="886">
        <v>5774.1370435507661</v>
      </c>
      <c r="AJ450" s="889"/>
      <c r="AK450" s="888"/>
      <c r="AL450" s="886">
        <v>5774.1370435507661</v>
      </c>
      <c r="AM450" s="889"/>
      <c r="AN450" s="888"/>
      <c r="AO450" s="886">
        <v>5774.1370435507661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96253.947445854821</v>
      </c>
      <c r="F451" s="889"/>
      <c r="G451" s="888"/>
      <c r="H451" s="886">
        <v>6280.2252781770867</v>
      </c>
      <c r="I451" s="889"/>
      <c r="J451" s="888"/>
      <c r="K451" s="886">
        <v>6055.2901420058188</v>
      </c>
      <c r="L451" s="889"/>
      <c r="M451" s="888"/>
      <c r="N451" s="886">
        <v>6406.525370599119</v>
      </c>
      <c r="O451" s="889"/>
      <c r="P451" s="888"/>
      <c r="Q451" s="886">
        <v>8394.6989070975033</v>
      </c>
      <c r="R451" s="889"/>
      <c r="S451" s="888"/>
      <c r="T451" s="886">
        <v>8924.4835609961956</v>
      </c>
      <c r="U451" s="889"/>
      <c r="V451" s="888"/>
      <c r="W451" s="886">
        <v>8313.6476244054084</v>
      </c>
      <c r="X451" s="889"/>
      <c r="Y451" s="888"/>
      <c r="Z451" s="886">
        <v>8126.212895296856</v>
      </c>
      <c r="AA451" s="889"/>
      <c r="AB451" s="888"/>
      <c r="AC451" s="886">
        <v>8788.9070130609471</v>
      </c>
      <c r="AD451" s="889"/>
      <c r="AE451" s="888"/>
      <c r="AF451" s="886">
        <v>7148.9466578781667</v>
      </c>
      <c r="AG451" s="889"/>
      <c r="AH451" s="888"/>
      <c r="AI451" s="886">
        <v>9652.4094193720739</v>
      </c>
      <c r="AJ451" s="889"/>
      <c r="AK451" s="888"/>
      <c r="AL451" s="886">
        <v>11347.597742175512</v>
      </c>
      <c r="AM451" s="889"/>
      <c r="AN451" s="888"/>
      <c r="AO451" s="886">
        <v>6815.0028347901361</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0.18513136238224173</v>
      </c>
      <c r="D455" s="896"/>
      <c r="E455" s="895">
        <v>1573184.9000363436</v>
      </c>
      <c r="F455" s="893">
        <v>0.22570350366648537</v>
      </c>
      <c r="G455" s="896"/>
      <c r="H455" s="895">
        <v>125139.59533886446</v>
      </c>
      <c r="I455" s="893">
        <v>0.22803489072330263</v>
      </c>
      <c r="J455" s="896"/>
      <c r="K455" s="895">
        <v>121903.86689275698</v>
      </c>
      <c r="L455" s="893">
        <v>0.22539316442471388</v>
      </c>
      <c r="M455" s="896"/>
      <c r="N455" s="895">
        <v>127480.72188949543</v>
      </c>
      <c r="O455" s="893">
        <v>0.19252439094962071</v>
      </c>
      <c r="P455" s="896"/>
      <c r="Q455" s="895">
        <v>142682.958224817</v>
      </c>
      <c r="R455" s="893">
        <v>0.17703805168709844</v>
      </c>
      <c r="S455" s="896"/>
      <c r="T455" s="895">
        <v>139486.10211885162</v>
      </c>
      <c r="U455" s="893">
        <v>0.16918917779694267</v>
      </c>
      <c r="V455" s="896"/>
      <c r="W455" s="895">
        <v>124178.21581834269</v>
      </c>
      <c r="X455" s="893">
        <v>0.17230118733803457</v>
      </c>
      <c r="Y455" s="896"/>
      <c r="Z455" s="895">
        <v>123611.16202551892</v>
      </c>
      <c r="AA455" s="893">
        <v>0.16529102449393654</v>
      </c>
      <c r="AB455" s="896"/>
      <c r="AC455" s="895">
        <v>128252.35957864445</v>
      </c>
      <c r="AD455" s="893">
        <v>0.19851431242569215</v>
      </c>
      <c r="AE455" s="896"/>
      <c r="AF455" s="895">
        <v>125289.62324458691</v>
      </c>
      <c r="AG455" s="893">
        <v>0.16183229081507583</v>
      </c>
      <c r="AH455" s="896"/>
      <c r="AI455" s="895">
        <v>137905.67535664779</v>
      </c>
      <c r="AJ455" s="893">
        <v>0.15282823229818698</v>
      </c>
      <c r="AK455" s="896"/>
      <c r="AL455" s="895">
        <v>153104.77827752181</v>
      </c>
      <c r="AM455" s="893">
        <v>0.20634735432730358</v>
      </c>
      <c r="AN455" s="896"/>
      <c r="AO455" s="895">
        <v>124149.84127029592</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65081.280000000021</v>
      </c>
      <c r="F457" s="889"/>
      <c r="G457" s="888"/>
      <c r="H457" s="897">
        <v>5423.4400000000005</v>
      </c>
      <c r="I457" s="889"/>
      <c r="J457" s="888"/>
      <c r="K457" s="897">
        <v>5423.4400000000005</v>
      </c>
      <c r="L457" s="889"/>
      <c r="M457" s="888"/>
      <c r="N457" s="897">
        <v>5423.4400000000005</v>
      </c>
      <c r="O457" s="889"/>
      <c r="P457" s="888"/>
      <c r="Q457" s="897">
        <v>5423.4400000000005</v>
      </c>
      <c r="R457" s="889"/>
      <c r="S457" s="888"/>
      <c r="T457" s="897">
        <v>5423.4400000000005</v>
      </c>
      <c r="U457" s="889"/>
      <c r="V457" s="888"/>
      <c r="W457" s="897">
        <v>5423.4400000000005</v>
      </c>
      <c r="X457" s="889"/>
      <c r="Y457" s="888"/>
      <c r="Z457" s="897">
        <v>5423.4400000000005</v>
      </c>
      <c r="AA457" s="889"/>
      <c r="AB457" s="888"/>
      <c r="AC457" s="897">
        <v>5423.4400000000005</v>
      </c>
      <c r="AD457" s="889"/>
      <c r="AE457" s="888"/>
      <c r="AF457" s="897">
        <v>5423.4400000000005</v>
      </c>
      <c r="AG457" s="889"/>
      <c r="AH457" s="888"/>
      <c r="AI457" s="897">
        <v>5423.4400000000005</v>
      </c>
      <c r="AJ457" s="889"/>
      <c r="AK457" s="888"/>
      <c r="AL457" s="897">
        <v>5423.4400000000005</v>
      </c>
      <c r="AM457" s="889"/>
      <c r="AN457" s="888"/>
      <c r="AO457" s="897">
        <v>5423.4400000000005</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43306.559999999998</v>
      </c>
      <c r="F458" s="892"/>
      <c r="G458" s="891"/>
      <c r="H458" s="909">
        <v>3608.8800000000006</v>
      </c>
      <c r="I458" s="892"/>
      <c r="J458" s="891"/>
      <c r="K458" s="909">
        <v>3608.8800000000006</v>
      </c>
      <c r="L458" s="892"/>
      <c r="M458" s="891"/>
      <c r="N458" s="909">
        <v>3608.8800000000006</v>
      </c>
      <c r="O458" s="892"/>
      <c r="P458" s="891"/>
      <c r="Q458" s="909">
        <v>3608.8800000000006</v>
      </c>
      <c r="R458" s="892"/>
      <c r="S458" s="891"/>
      <c r="T458" s="909">
        <v>3608.8800000000006</v>
      </c>
      <c r="U458" s="892"/>
      <c r="V458" s="891"/>
      <c r="W458" s="909">
        <v>3608.8800000000006</v>
      </c>
      <c r="X458" s="892"/>
      <c r="Y458" s="891"/>
      <c r="Z458" s="909">
        <v>3608.8800000000006</v>
      </c>
      <c r="AA458" s="892"/>
      <c r="AB458" s="891"/>
      <c r="AC458" s="909">
        <v>3608.8800000000006</v>
      </c>
      <c r="AD458" s="892"/>
      <c r="AE458" s="891"/>
      <c r="AF458" s="909">
        <v>3608.8800000000006</v>
      </c>
      <c r="AG458" s="892"/>
      <c r="AH458" s="891"/>
      <c r="AI458" s="909">
        <v>3608.8800000000006</v>
      </c>
      <c r="AJ458" s="892"/>
      <c r="AK458" s="891"/>
      <c r="AL458" s="909">
        <v>3608.8800000000006</v>
      </c>
      <c r="AM458" s="892"/>
      <c r="AN458" s="891"/>
      <c r="AO458" s="909">
        <v>3608.8800000000006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52131</v>
      </c>
      <c r="F460" s="892"/>
      <c r="G460" s="891"/>
      <c r="H460" s="909">
        <v>4344.25</v>
      </c>
      <c r="I460" s="892"/>
      <c r="J460" s="891"/>
      <c r="K460" s="909">
        <v>4344.25</v>
      </c>
      <c r="L460" s="892"/>
      <c r="M460" s="891"/>
      <c r="N460" s="909">
        <v>4344.25</v>
      </c>
      <c r="O460" s="892"/>
      <c r="P460" s="891"/>
      <c r="Q460" s="909">
        <v>4344.25</v>
      </c>
      <c r="R460" s="892"/>
      <c r="S460" s="891"/>
      <c r="T460" s="909">
        <v>4344.25</v>
      </c>
      <c r="U460" s="892"/>
      <c r="V460" s="891"/>
      <c r="W460" s="909">
        <v>4344.25</v>
      </c>
      <c r="X460" s="892"/>
      <c r="Y460" s="891"/>
      <c r="Z460" s="909">
        <v>4344.25</v>
      </c>
      <c r="AA460" s="892"/>
      <c r="AB460" s="891"/>
      <c r="AC460" s="909">
        <v>4344.25</v>
      </c>
      <c r="AD460" s="892"/>
      <c r="AE460" s="891"/>
      <c r="AF460" s="909">
        <v>4344.25</v>
      </c>
      <c r="AG460" s="892"/>
      <c r="AH460" s="891"/>
      <c r="AI460" s="909">
        <v>4344.25</v>
      </c>
      <c r="AJ460" s="892"/>
      <c r="AK460" s="891"/>
      <c r="AL460" s="909">
        <v>4344.25</v>
      </c>
      <c r="AM460" s="892"/>
      <c r="AN460" s="891"/>
      <c r="AO460" s="909">
        <v>4344.25</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44400</v>
      </c>
      <c r="F461" s="889"/>
      <c r="G461" s="888"/>
      <c r="H461" s="897">
        <v>3700</v>
      </c>
      <c r="I461" s="889"/>
      <c r="J461" s="888"/>
      <c r="K461" s="897">
        <v>3700</v>
      </c>
      <c r="L461" s="889"/>
      <c r="M461" s="888"/>
      <c r="N461" s="897">
        <v>3700</v>
      </c>
      <c r="O461" s="889"/>
      <c r="P461" s="888"/>
      <c r="Q461" s="897">
        <v>3700</v>
      </c>
      <c r="R461" s="889"/>
      <c r="S461" s="888"/>
      <c r="T461" s="897">
        <v>3700</v>
      </c>
      <c r="U461" s="889"/>
      <c r="V461" s="888"/>
      <c r="W461" s="897">
        <v>3700</v>
      </c>
      <c r="X461" s="889"/>
      <c r="Y461" s="888"/>
      <c r="Z461" s="897">
        <v>3700</v>
      </c>
      <c r="AA461" s="889"/>
      <c r="AB461" s="888"/>
      <c r="AC461" s="897">
        <v>3700</v>
      </c>
      <c r="AD461" s="889"/>
      <c r="AE461" s="888"/>
      <c r="AF461" s="897">
        <v>3700</v>
      </c>
      <c r="AG461" s="889"/>
      <c r="AH461" s="888"/>
      <c r="AI461" s="897">
        <v>3700</v>
      </c>
      <c r="AJ461" s="889"/>
      <c r="AK461" s="888"/>
      <c r="AL461" s="897">
        <v>3700</v>
      </c>
      <c r="AM461" s="889"/>
      <c r="AN461" s="888"/>
      <c r="AO461" s="897">
        <v>3700</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16374.74808917444</v>
      </c>
      <c r="F463" s="892"/>
      <c r="G463" s="891"/>
      <c r="H463" s="909">
        <v>1364.5623407645369</v>
      </c>
      <c r="I463" s="892"/>
      <c r="J463" s="891"/>
      <c r="K463" s="909">
        <v>1364.5623407645369</v>
      </c>
      <c r="L463" s="892"/>
      <c r="M463" s="891"/>
      <c r="N463" s="909">
        <v>1364.5623407645369</v>
      </c>
      <c r="O463" s="892"/>
      <c r="P463" s="891"/>
      <c r="Q463" s="909">
        <v>1364.5623407645369</v>
      </c>
      <c r="R463" s="892"/>
      <c r="S463" s="891"/>
      <c r="T463" s="909">
        <v>1364.5623407645369</v>
      </c>
      <c r="U463" s="892"/>
      <c r="V463" s="891"/>
      <c r="W463" s="909">
        <v>1364.5623407645369</v>
      </c>
      <c r="X463" s="892"/>
      <c r="Y463" s="891"/>
      <c r="Z463" s="909">
        <v>1364.5623407645369</v>
      </c>
      <c r="AA463" s="892"/>
      <c r="AB463" s="891"/>
      <c r="AC463" s="909">
        <v>1364.5623407645369</v>
      </c>
      <c r="AD463" s="892"/>
      <c r="AE463" s="891"/>
      <c r="AF463" s="909">
        <v>1364.5623407645369</v>
      </c>
      <c r="AG463" s="892"/>
      <c r="AH463" s="891"/>
      <c r="AI463" s="909">
        <v>1364.5623407645369</v>
      </c>
      <c r="AJ463" s="892"/>
      <c r="AK463" s="891"/>
      <c r="AL463" s="909">
        <v>1364.5623407645369</v>
      </c>
      <c r="AM463" s="892"/>
      <c r="AN463" s="891"/>
      <c r="AO463" s="909">
        <v>1364.5623407645369</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8.7871421453102061E-2</v>
      </c>
      <c r="D469" s="896"/>
      <c r="E469" s="895">
        <v>746702.18808917445</v>
      </c>
      <c r="F469" s="893">
        <v>0.1122301988636422</v>
      </c>
      <c r="G469" s="896"/>
      <c r="H469" s="895">
        <v>62225.182340764542</v>
      </c>
      <c r="I469" s="893">
        <v>0.11639920059137111</v>
      </c>
      <c r="J469" s="896"/>
      <c r="K469" s="895">
        <v>62225.182340764542</v>
      </c>
      <c r="L469" s="893">
        <v>0.11001766029256721</v>
      </c>
      <c r="M469" s="896"/>
      <c r="N469" s="895">
        <v>62225.182340764542</v>
      </c>
      <c r="O469" s="893">
        <v>8.3961430859940747E-2</v>
      </c>
      <c r="P469" s="896"/>
      <c r="Q469" s="895">
        <v>62225.182340764542</v>
      </c>
      <c r="R469" s="893">
        <v>7.8977223394606208E-2</v>
      </c>
      <c r="S469" s="896"/>
      <c r="T469" s="895">
        <v>62225.182340764542</v>
      </c>
      <c r="U469" s="893">
        <v>8.4779986321430911E-2</v>
      </c>
      <c r="V469" s="896"/>
      <c r="W469" s="895">
        <v>62225.182340764542</v>
      </c>
      <c r="X469" s="893">
        <v>8.6735474563583798E-2</v>
      </c>
      <c r="Y469" s="896"/>
      <c r="Z469" s="895">
        <v>62225.182340764542</v>
      </c>
      <c r="AA469" s="893">
        <v>8.0195515873686882E-2</v>
      </c>
      <c r="AB469" s="896"/>
      <c r="AC469" s="895">
        <v>62225.182340764542</v>
      </c>
      <c r="AD469" s="893">
        <v>9.8592277381390273E-2</v>
      </c>
      <c r="AE469" s="896"/>
      <c r="AF469" s="895">
        <v>62225.182340764542</v>
      </c>
      <c r="AG469" s="893">
        <v>7.3021242806351971E-2</v>
      </c>
      <c r="AH469" s="896"/>
      <c r="AI469" s="895">
        <v>62225.182340764542</v>
      </c>
      <c r="AJ469" s="893">
        <v>6.2112787912691737E-2</v>
      </c>
      <c r="AK469" s="896"/>
      <c r="AL469" s="895">
        <v>62225.182340764542</v>
      </c>
      <c r="AM469" s="893">
        <v>0.10342342460668867</v>
      </c>
      <c r="AN469" s="896"/>
      <c r="AO469" s="895">
        <v>62225.182340764542</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344860.53318603075</v>
      </c>
      <c r="F470" s="910"/>
      <c r="G470" s="911"/>
      <c r="H470" s="912">
        <v>26997.440756525077</v>
      </c>
      <c r="I470" s="910"/>
      <c r="J470" s="911"/>
      <c r="K470" s="912">
        <v>26772.505620353808</v>
      </c>
      <c r="L470" s="910"/>
      <c r="M470" s="911"/>
      <c r="N470" s="912">
        <v>27123.740848947109</v>
      </c>
      <c r="O470" s="910"/>
      <c r="P470" s="911"/>
      <c r="Q470" s="912">
        <v>29111.914385445492</v>
      </c>
      <c r="R470" s="910"/>
      <c r="S470" s="911"/>
      <c r="T470" s="912">
        <v>29641.699039344185</v>
      </c>
      <c r="U470" s="910"/>
      <c r="V470" s="911"/>
      <c r="W470" s="912">
        <v>29030.863102753399</v>
      </c>
      <c r="X470" s="910"/>
      <c r="Y470" s="911"/>
      <c r="Z470" s="912">
        <v>28843.428373644845</v>
      </c>
      <c r="AA470" s="910"/>
      <c r="AB470" s="911"/>
      <c r="AC470" s="912">
        <v>29506.122491408936</v>
      </c>
      <c r="AD470" s="910"/>
      <c r="AE470" s="911"/>
      <c r="AF470" s="912">
        <v>27866.162136226158</v>
      </c>
      <c r="AG470" s="910"/>
      <c r="AH470" s="911"/>
      <c r="AI470" s="912">
        <v>30369.624897720063</v>
      </c>
      <c r="AJ470" s="910"/>
      <c r="AK470" s="911"/>
      <c r="AL470" s="912">
        <v>32064.813220523502</v>
      </c>
      <c r="AM470" s="910"/>
      <c r="AN470" s="911"/>
      <c r="AO470" s="912">
        <v>27532.218313138124</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1.0004359643760452</v>
      </c>
      <c r="D471" s="896"/>
      <c r="E471" s="895">
        <v>8501372.9297800567</v>
      </c>
      <c r="F471" s="893">
        <v>1.2494558049058475</v>
      </c>
      <c r="G471" s="896"/>
      <c r="H471" s="895">
        <v>692751.29220304708</v>
      </c>
      <c r="I471" s="893">
        <v>1.179453722803308</v>
      </c>
      <c r="J471" s="896"/>
      <c r="K471" s="895">
        <v>630517.4141322244</v>
      </c>
      <c r="L471" s="893">
        <v>1.1766812136768074</v>
      </c>
      <c r="M471" s="896"/>
      <c r="N471" s="895">
        <v>665522.2705453058</v>
      </c>
      <c r="O471" s="893">
        <v>0.96110728740116524</v>
      </c>
      <c r="P471" s="896"/>
      <c r="Q471" s="895">
        <v>712292.24651183258</v>
      </c>
      <c r="R471" s="893">
        <v>0.98417905556186835</v>
      </c>
      <c r="S471" s="896"/>
      <c r="T471" s="895">
        <v>775422.56559605978</v>
      </c>
      <c r="U471" s="893">
        <v>0.94438705595909189</v>
      </c>
      <c r="V471" s="896"/>
      <c r="W471" s="895">
        <v>693143.03182964318</v>
      </c>
      <c r="X471" s="893">
        <v>0.96226449836243932</v>
      </c>
      <c r="Y471" s="896"/>
      <c r="Z471" s="895">
        <v>690341.34155515092</v>
      </c>
      <c r="AA471" s="893">
        <v>0.97326189611050107</v>
      </c>
      <c r="AB471" s="896"/>
      <c r="AC471" s="895">
        <v>755171.88574710686</v>
      </c>
      <c r="AD471" s="893">
        <v>1.0581202021702536</v>
      </c>
      <c r="AE471" s="896"/>
      <c r="AF471" s="895">
        <v>667818.25379478035</v>
      </c>
      <c r="AG471" s="893">
        <v>0.936337661538168</v>
      </c>
      <c r="AH471" s="896"/>
      <c r="AI471" s="895">
        <v>797901.80887840665</v>
      </c>
      <c r="AJ471" s="893">
        <v>0.77493326313769706</v>
      </c>
      <c r="AK471" s="896"/>
      <c r="AL471" s="895">
        <v>776335.52157483855</v>
      </c>
      <c r="AM471" s="893">
        <v>1.0706396402668288</v>
      </c>
      <c r="AN471" s="896"/>
      <c r="AO471" s="895">
        <v>644155.29741166043</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120000</v>
      </c>
      <c r="F472" s="913"/>
      <c r="G472" s="914"/>
      <c r="H472" s="915">
        <v>0</v>
      </c>
      <c r="I472" s="913"/>
      <c r="J472" s="914"/>
      <c r="K472" s="915">
        <v>0</v>
      </c>
      <c r="L472" s="913"/>
      <c r="M472" s="914"/>
      <c r="N472" s="915">
        <v>30000</v>
      </c>
      <c r="O472" s="913"/>
      <c r="P472" s="914"/>
      <c r="Q472" s="915">
        <v>0</v>
      </c>
      <c r="R472" s="913"/>
      <c r="S472" s="914"/>
      <c r="T472" s="915">
        <v>0</v>
      </c>
      <c r="U472" s="913"/>
      <c r="V472" s="914"/>
      <c r="W472" s="915">
        <v>30000</v>
      </c>
      <c r="X472" s="913"/>
      <c r="Y472" s="914"/>
      <c r="Z472" s="915">
        <v>0</v>
      </c>
      <c r="AA472" s="913"/>
      <c r="AB472" s="914"/>
      <c r="AC472" s="915">
        <v>0</v>
      </c>
      <c r="AD472" s="913"/>
      <c r="AE472" s="914"/>
      <c r="AF472" s="915">
        <v>30000</v>
      </c>
      <c r="AG472" s="913"/>
      <c r="AH472" s="914"/>
      <c r="AI472" s="915">
        <v>0</v>
      </c>
      <c r="AJ472" s="913"/>
      <c r="AK472" s="914"/>
      <c r="AL472" s="915">
        <v>0</v>
      </c>
      <c r="AM472" s="913"/>
      <c r="AN472" s="914"/>
      <c r="AO472" s="915">
        <v>30000</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1145900.2452170278</v>
      </c>
      <c r="F473" s="916"/>
      <c r="G473" s="917"/>
      <c r="H473" s="886">
        <v>84434.754910728356</v>
      </c>
      <c r="I473" s="916"/>
      <c r="J473" s="917"/>
      <c r="K473" s="886">
        <v>76895.937507984767</v>
      </c>
      <c r="L473" s="916"/>
      <c r="M473" s="917"/>
      <c r="N473" s="886">
        <v>72372.647066338584</v>
      </c>
      <c r="O473" s="916"/>
      <c r="P473" s="917"/>
      <c r="Q473" s="886">
        <v>85942.518391277088</v>
      </c>
      <c r="R473" s="916"/>
      <c r="S473" s="917"/>
      <c r="T473" s="886">
        <v>87450.281871825806</v>
      </c>
      <c r="U473" s="916"/>
      <c r="V473" s="917"/>
      <c r="W473" s="886">
        <v>105543.44363841046</v>
      </c>
      <c r="X473" s="916"/>
      <c r="Y473" s="917"/>
      <c r="Z473" s="886">
        <v>105543.44363841046</v>
      </c>
      <c r="AA473" s="916"/>
      <c r="AB473" s="917"/>
      <c r="AC473" s="886">
        <v>128159.89584664126</v>
      </c>
      <c r="AD473" s="916"/>
      <c r="AE473" s="917"/>
      <c r="AF473" s="886">
        <v>90465.808832923241</v>
      </c>
      <c r="AG473" s="916"/>
      <c r="AH473" s="917"/>
      <c r="AI473" s="886">
        <v>104035.68015786173</v>
      </c>
      <c r="AJ473" s="916"/>
      <c r="AK473" s="917"/>
      <c r="AL473" s="886">
        <v>126652.13236609256</v>
      </c>
      <c r="AM473" s="916"/>
      <c r="AN473" s="917"/>
      <c r="AO473" s="886">
        <v>78403.70098853347</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Programme neuf 1</v>
      </c>
      <c r="B474" s="54" t="s">
        <v>145</v>
      </c>
      <c r="C474" s="916"/>
      <c r="D474" s="917"/>
      <c r="E474" s="886">
        <v>100000</v>
      </c>
      <c r="F474" s="916"/>
      <c r="G474" s="917"/>
      <c r="H474" s="886">
        <v>0</v>
      </c>
      <c r="I474" s="916"/>
      <c r="J474" s="917"/>
      <c r="K474" s="886">
        <v>0</v>
      </c>
      <c r="L474" s="916"/>
      <c r="M474" s="917"/>
      <c r="N474" s="886">
        <v>25000</v>
      </c>
      <c r="O474" s="916"/>
      <c r="P474" s="917"/>
      <c r="Q474" s="886">
        <v>0</v>
      </c>
      <c r="R474" s="916"/>
      <c r="S474" s="917"/>
      <c r="T474" s="886">
        <v>0</v>
      </c>
      <c r="U474" s="916"/>
      <c r="V474" s="917"/>
      <c r="W474" s="886">
        <v>25000</v>
      </c>
      <c r="X474" s="916"/>
      <c r="Y474" s="917"/>
      <c r="Z474" s="886">
        <v>0</v>
      </c>
      <c r="AA474" s="916"/>
      <c r="AB474" s="917"/>
      <c r="AC474" s="886">
        <v>0</v>
      </c>
      <c r="AD474" s="916"/>
      <c r="AE474" s="917"/>
      <c r="AF474" s="886">
        <v>25000</v>
      </c>
      <c r="AG474" s="916"/>
      <c r="AH474" s="917"/>
      <c r="AI474" s="886">
        <v>0</v>
      </c>
      <c r="AJ474" s="916"/>
      <c r="AK474" s="917"/>
      <c r="AL474" s="886">
        <v>0</v>
      </c>
      <c r="AM474" s="916"/>
      <c r="AN474" s="917"/>
      <c r="AO474" s="886">
        <v>25000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519867.54999999987</v>
      </c>
      <c r="F483" s="918"/>
      <c r="G483" s="917"/>
      <c r="H483" s="886">
        <v>36403.049999999996</v>
      </c>
      <c r="I483" s="918"/>
      <c r="J483" s="917"/>
      <c r="K483" s="886">
        <v>35549</v>
      </c>
      <c r="L483" s="918"/>
      <c r="M483" s="917"/>
      <c r="N483" s="886">
        <v>34884.949999999997</v>
      </c>
      <c r="O483" s="918"/>
      <c r="P483" s="917"/>
      <c r="Q483" s="886">
        <v>39435.449999999997</v>
      </c>
      <c r="R483" s="918"/>
      <c r="S483" s="917"/>
      <c r="T483" s="886">
        <v>44079.049999999996</v>
      </c>
      <c r="U483" s="918"/>
      <c r="V483" s="917"/>
      <c r="W483" s="886">
        <v>49009.549999999996</v>
      </c>
      <c r="X483" s="918"/>
      <c r="Y483" s="917"/>
      <c r="Z483" s="886">
        <v>47493.349999999991</v>
      </c>
      <c r="AA483" s="918"/>
      <c r="AB483" s="917"/>
      <c r="AC483" s="886">
        <v>53087.899999999994</v>
      </c>
      <c r="AD483" s="918"/>
      <c r="AE483" s="917"/>
      <c r="AF483" s="886">
        <v>38962.35</v>
      </c>
      <c r="AG483" s="918"/>
      <c r="AH483" s="917"/>
      <c r="AI483" s="886">
        <v>50051.7</v>
      </c>
      <c r="AJ483" s="918"/>
      <c r="AK483" s="917"/>
      <c r="AL483" s="886">
        <v>54509.1</v>
      </c>
      <c r="AM483" s="918"/>
      <c r="AN483" s="917"/>
      <c r="AO483" s="886">
        <v>36402.099999999991</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0.22191591150984183</v>
      </c>
      <c r="D484" s="919"/>
      <c r="E484" s="895">
        <v>1885767.7952170277</v>
      </c>
      <c r="F484" s="893">
        <v>0.21794473499666431</v>
      </c>
      <c r="G484" s="919"/>
      <c r="H484" s="895">
        <v>120837.80491072836</v>
      </c>
      <c r="I484" s="893">
        <v>0.21034089968269418</v>
      </c>
      <c r="J484" s="919"/>
      <c r="K484" s="895">
        <v>112444.93750798477</v>
      </c>
      <c r="L484" s="893">
        <v>0.28688065703325599</v>
      </c>
      <c r="M484" s="919"/>
      <c r="N484" s="895">
        <v>162257.59706633858</v>
      </c>
      <c r="O484" s="893">
        <v>0.16917449219827721</v>
      </c>
      <c r="P484" s="919"/>
      <c r="Q484" s="895">
        <v>125377.96839127709</v>
      </c>
      <c r="R484" s="893">
        <v>0.16693918820996823</v>
      </c>
      <c r="S484" s="919"/>
      <c r="T484" s="895">
        <v>131529.33187182579</v>
      </c>
      <c r="U484" s="893">
        <v>0.28550980914748819</v>
      </c>
      <c r="V484" s="919"/>
      <c r="W484" s="895">
        <v>209552.99363841047</v>
      </c>
      <c r="X484" s="893">
        <v>0.21331747730726991</v>
      </c>
      <c r="Y484" s="919"/>
      <c r="Z484" s="895">
        <v>153036.79363841045</v>
      </c>
      <c r="AA484" s="893">
        <v>0.23359128799800777</v>
      </c>
      <c r="AB484" s="919"/>
      <c r="AC484" s="895">
        <v>181247.79584664124</v>
      </c>
      <c r="AD484" s="893">
        <v>0.2922159728358501</v>
      </c>
      <c r="AE484" s="919"/>
      <c r="AF484" s="895">
        <v>184428.15883292325</v>
      </c>
      <c r="AG484" s="893">
        <v>0.1808215191445213</v>
      </c>
      <c r="AH484" s="919"/>
      <c r="AI484" s="895">
        <v>154087.38015786174</v>
      </c>
      <c r="AJ484" s="893">
        <v>0.18083400932977833</v>
      </c>
      <c r="AK484" s="919"/>
      <c r="AL484" s="895">
        <v>181161.23236609256</v>
      </c>
      <c r="AM484" s="893">
        <v>0.28223135386155296</v>
      </c>
      <c r="AN484" s="919"/>
      <c r="AO484" s="895">
        <v>169805.80098853348</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233293.58808917447</v>
      </c>
      <c r="F485" s="920"/>
      <c r="G485" s="921"/>
      <c r="H485" s="922">
        <v>19441.13234076454</v>
      </c>
      <c r="I485" s="920"/>
      <c r="J485" s="921"/>
      <c r="K485" s="922">
        <v>19441.13234076454</v>
      </c>
      <c r="L485" s="920"/>
      <c r="M485" s="921"/>
      <c r="N485" s="922">
        <v>19441.13234076454</v>
      </c>
      <c r="O485" s="920"/>
      <c r="P485" s="921"/>
      <c r="Q485" s="922">
        <v>19441.13234076454</v>
      </c>
      <c r="R485" s="920"/>
      <c r="S485" s="921"/>
      <c r="T485" s="922">
        <v>19441.13234076454</v>
      </c>
      <c r="U485" s="920"/>
      <c r="V485" s="921"/>
      <c r="W485" s="922">
        <v>19441.13234076454</v>
      </c>
      <c r="X485" s="920"/>
      <c r="Y485" s="921"/>
      <c r="Z485" s="922">
        <v>19441.13234076454</v>
      </c>
      <c r="AA485" s="920"/>
      <c r="AB485" s="921"/>
      <c r="AC485" s="922">
        <v>19441.13234076454</v>
      </c>
      <c r="AD485" s="920"/>
      <c r="AE485" s="921"/>
      <c r="AF485" s="922">
        <v>19441.13234076454</v>
      </c>
      <c r="AG485" s="920"/>
      <c r="AH485" s="921"/>
      <c r="AI485" s="922">
        <v>19441.13234076454</v>
      </c>
      <c r="AJ485" s="920"/>
      <c r="AK485" s="921"/>
      <c r="AL485" s="922">
        <v>19441.13234076454</v>
      </c>
      <c r="AM485" s="920"/>
      <c r="AN485" s="921"/>
      <c r="AO485" s="922">
        <v>19441.13234076454</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2.6424307006582437E-2</v>
      </c>
      <c r="E486" s="925">
        <v>1882063.1145809495</v>
      </c>
      <c r="F486" s="926" t="s">
        <v>219</v>
      </c>
      <c r="G486" s="927">
        <v>-3.8980066406975587E-3</v>
      </c>
      <c r="H486" s="928">
        <v>-17471.073656688561</v>
      </c>
      <c r="I486" s="926" t="s">
        <v>219</v>
      </c>
      <c r="J486" s="927">
        <v>3.4186158761227705E-3</v>
      </c>
      <c r="K486" s="928">
        <v>16511.799080635028</v>
      </c>
      <c r="L486" s="926" t="s">
        <v>219</v>
      </c>
      <c r="M486" s="927">
        <v>1.2095019110529287E-2</v>
      </c>
      <c r="N486" s="928">
        <v>62327.997509405657</v>
      </c>
      <c r="O486" s="926" t="s">
        <v>219</v>
      </c>
      <c r="P486" s="927">
        <v>2.7947392121934617E-2</v>
      </c>
      <c r="Q486" s="928">
        <v>154201.9904261863</v>
      </c>
      <c r="R486" s="926" t="s">
        <v>219</v>
      </c>
      <c r="S486" s="927">
        <v>2.3155654438987455E-2</v>
      </c>
      <c r="T486" s="928">
        <v>143994.45928643533</v>
      </c>
      <c r="U486" s="926" t="s">
        <v>219</v>
      </c>
      <c r="V486" s="927">
        <v>3.9442474147656191E-2</v>
      </c>
      <c r="W486" s="928">
        <v>250370.71175329864</v>
      </c>
      <c r="X486" s="926" t="s">
        <v>219</v>
      </c>
      <c r="Y486" s="927">
        <v>2.8657593431559183E-2</v>
      </c>
      <c r="Z486" s="928">
        <v>180108.74409388524</v>
      </c>
      <c r="AA486" s="926" t="s">
        <v>219</v>
      </c>
      <c r="AB486" s="927">
        <v>2.886105411252432E-2</v>
      </c>
      <c r="AC486" s="928">
        <v>201994.38462837489</v>
      </c>
      <c r="AD486" s="926" t="s">
        <v>219</v>
      </c>
      <c r="AE486" s="927">
        <v>2.740518101689951E-2</v>
      </c>
      <c r="AF486" s="928">
        <v>147746.37934895765</v>
      </c>
      <c r="AG486" s="926" t="s">
        <v>219</v>
      </c>
      <c r="AH486" s="927">
        <v>2.9656514803954506E-2</v>
      </c>
      <c r="AI486" s="928">
        <v>208337.35546343634</v>
      </c>
      <c r="AJ486" s="926" t="s">
        <v>219</v>
      </c>
      <c r="AK486" s="927">
        <v>5.2939347863691678E-2</v>
      </c>
      <c r="AL486" s="928">
        <v>406635.23233826278</v>
      </c>
      <c r="AM486" s="926" t="s">
        <v>219</v>
      </c>
      <c r="AN486" s="927">
        <v>2.40445603713931E-2</v>
      </c>
      <c r="AO486" s="928">
        <v>127305.13430876116</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3933</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2.6424307006582437E-2</v>
      </c>
      <c r="E492" s="932">
        <v>1882063.1145809495</v>
      </c>
      <c r="F492" s="933" t="s">
        <v>219</v>
      </c>
      <c r="G492" s="931">
        <v>-3.8980066406975587E-3</v>
      </c>
      <c r="H492" s="934">
        <v>-17471.073656688561</v>
      </c>
      <c r="I492" s="933" t="s">
        <v>219</v>
      </c>
      <c r="J492" s="931">
        <v>3.4186158761227705E-3</v>
      </c>
      <c r="K492" s="934">
        <v>16511.799080635028</v>
      </c>
      <c r="L492" s="933" t="s">
        <v>219</v>
      </c>
      <c r="M492" s="931">
        <v>1.2095019110529287E-2</v>
      </c>
      <c r="N492" s="934">
        <v>62327.997509405657</v>
      </c>
      <c r="O492" s="933" t="s">
        <v>219</v>
      </c>
      <c r="P492" s="931">
        <v>2.7947392121934617E-2</v>
      </c>
      <c r="Q492" s="934">
        <v>154201.9904261863</v>
      </c>
      <c r="R492" s="933" t="s">
        <v>219</v>
      </c>
      <c r="S492" s="931">
        <v>2.3155654438987455E-2</v>
      </c>
      <c r="T492" s="934">
        <v>143994.45928643533</v>
      </c>
      <c r="U492" s="933" t="s">
        <v>219</v>
      </c>
      <c r="V492" s="931">
        <v>3.9442474147656191E-2</v>
      </c>
      <c r="W492" s="934">
        <v>250370.71175329864</v>
      </c>
      <c r="X492" s="933" t="s">
        <v>219</v>
      </c>
      <c r="Y492" s="931">
        <v>2.8657593431559183E-2</v>
      </c>
      <c r="Z492" s="934">
        <v>180108.74409388524</v>
      </c>
      <c r="AA492" s="933" t="s">
        <v>219</v>
      </c>
      <c r="AB492" s="931">
        <v>2.886105411252432E-2</v>
      </c>
      <c r="AC492" s="934">
        <v>201994.38462837489</v>
      </c>
      <c r="AD492" s="933" t="s">
        <v>219</v>
      </c>
      <c r="AE492" s="931">
        <v>2.740518101689951E-2</v>
      </c>
      <c r="AF492" s="934">
        <v>147746.37934895765</v>
      </c>
      <c r="AG492" s="933" t="s">
        <v>219</v>
      </c>
      <c r="AH492" s="931">
        <v>2.9656514803954506E-2</v>
      </c>
      <c r="AI492" s="934">
        <v>208337.35546343634</v>
      </c>
      <c r="AJ492" s="933" t="s">
        <v>219</v>
      </c>
      <c r="AK492" s="931">
        <v>5.2939347863691678E-2</v>
      </c>
      <c r="AL492" s="934">
        <v>406635.23233826278</v>
      </c>
      <c r="AM492" s="933" t="s">
        <v>219</v>
      </c>
      <c r="AN492" s="931">
        <v>2.40445603713931E-2</v>
      </c>
      <c r="AO492" s="934">
        <v>127305.13430876116</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517776</v>
      </c>
      <c r="F494" s="889"/>
      <c r="G494" s="888"/>
      <c r="H494" s="897">
        <v>42648</v>
      </c>
      <c r="I494" s="889"/>
      <c r="J494" s="888"/>
      <c r="K494" s="897">
        <v>42648</v>
      </c>
      <c r="L494" s="889"/>
      <c r="M494" s="888"/>
      <c r="N494" s="897">
        <v>42648</v>
      </c>
      <c r="O494" s="889"/>
      <c r="P494" s="888"/>
      <c r="Q494" s="897">
        <v>42648</v>
      </c>
      <c r="R494" s="889"/>
      <c r="S494" s="888"/>
      <c r="T494" s="897">
        <v>42648</v>
      </c>
      <c r="U494" s="889"/>
      <c r="V494" s="888"/>
      <c r="W494" s="897">
        <v>42648</v>
      </c>
      <c r="X494" s="889"/>
      <c r="Y494" s="888"/>
      <c r="Z494" s="897">
        <v>43648</v>
      </c>
      <c r="AA494" s="889"/>
      <c r="AB494" s="888"/>
      <c r="AC494" s="897">
        <v>43648</v>
      </c>
      <c r="AD494" s="889"/>
      <c r="AE494" s="888"/>
      <c r="AF494" s="897">
        <v>43648</v>
      </c>
      <c r="AG494" s="889"/>
      <c r="AH494" s="888"/>
      <c r="AI494" s="897">
        <v>43648</v>
      </c>
      <c r="AJ494" s="889"/>
      <c r="AK494" s="888"/>
      <c r="AL494" s="897">
        <v>43648</v>
      </c>
      <c r="AM494" s="889"/>
      <c r="AN494" s="888"/>
      <c r="AO494" s="897">
        <v>43648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3936</v>
      </c>
      <c r="C499" s="810"/>
      <c r="D499" s="810"/>
      <c r="E499" s="938">
        <v>-12949.999999999998</v>
      </c>
      <c r="F499" s="941"/>
      <c r="G499" s="810"/>
      <c r="H499" s="886">
        <v>-1079.1666666666667</v>
      </c>
      <c r="I499" s="941"/>
      <c r="J499" s="810"/>
      <c r="K499" s="886">
        <v>-1079.1666666666667</v>
      </c>
      <c r="L499" s="941"/>
      <c r="M499" s="810"/>
      <c r="N499" s="886">
        <v>-1079.1666666666667</v>
      </c>
      <c r="O499" s="941"/>
      <c r="P499" s="810"/>
      <c r="Q499" s="886">
        <v>-1079.1666666666667</v>
      </c>
      <c r="R499" s="941"/>
      <c r="S499" s="810"/>
      <c r="T499" s="886">
        <v>-1079.1666666666667</v>
      </c>
      <c r="U499" s="941"/>
      <c r="V499" s="810"/>
      <c r="W499" s="886">
        <v>-1079.1666666666667</v>
      </c>
      <c r="X499" s="941"/>
      <c r="Y499" s="810"/>
      <c r="Z499" s="886">
        <v>-1079.1666666666667</v>
      </c>
      <c r="AA499" s="941"/>
      <c r="AB499" s="810"/>
      <c r="AC499" s="886">
        <v>-1079.1666666666667</v>
      </c>
      <c r="AD499" s="941"/>
      <c r="AE499" s="810"/>
      <c r="AF499" s="886">
        <v>-1079.1666666666667</v>
      </c>
      <c r="AG499" s="941"/>
      <c r="AH499" s="810"/>
      <c r="AI499" s="886">
        <v>-1079.1666666666667</v>
      </c>
      <c r="AJ499" s="941"/>
      <c r="AK499" s="810"/>
      <c r="AL499" s="886">
        <v>-1079.1666666666667</v>
      </c>
      <c r="AM499" s="941"/>
      <c r="AN499" s="810"/>
      <c r="AO499" s="886">
        <v>-1079.1666666666667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1.9336512178896689E-2</v>
      </c>
      <c r="E501" s="944">
        <v>1377237.1145809495</v>
      </c>
      <c r="F501" s="945" t="s">
        <v>219</v>
      </c>
      <c r="G501" s="943">
        <v>-1.3172513265958696E-2</v>
      </c>
      <c r="H501" s="946">
        <v>-59039.906990021896</v>
      </c>
      <c r="I501" s="945" t="s">
        <v>219</v>
      </c>
      <c r="J501" s="943">
        <v>-5.1878280910823719E-3</v>
      </c>
      <c r="K501" s="946">
        <v>-25057.034252698304</v>
      </c>
      <c r="L501" s="945" t="s">
        <v>219</v>
      </c>
      <c r="M501" s="943">
        <v>4.0284061330595443E-3</v>
      </c>
      <c r="N501" s="946">
        <v>20759.164176072325</v>
      </c>
      <c r="O501" s="945" t="s">
        <v>219</v>
      </c>
      <c r="P501" s="943">
        <v>2.0413504381528846E-2</v>
      </c>
      <c r="Q501" s="946">
        <v>112633.15709285297</v>
      </c>
      <c r="R501" s="945" t="s">
        <v>219</v>
      </c>
      <c r="S501" s="943">
        <v>1.6470997648243807E-2</v>
      </c>
      <c r="T501" s="946">
        <v>102425.625953102</v>
      </c>
      <c r="U501" s="945" t="s">
        <v>219</v>
      </c>
      <c r="V501" s="943">
        <v>3.2893874183161233E-2</v>
      </c>
      <c r="W501" s="946">
        <v>208801.8784199653</v>
      </c>
      <c r="X501" s="945" t="s">
        <v>219</v>
      </c>
      <c r="Y501" s="943">
        <v>2.1884350274155542E-2</v>
      </c>
      <c r="Z501" s="946">
        <v>137539.91076055189</v>
      </c>
      <c r="AA501" s="945" t="s">
        <v>219</v>
      </c>
      <c r="AB501" s="943">
        <v>2.2778798882505519E-2</v>
      </c>
      <c r="AC501" s="946">
        <v>159425.55129504154</v>
      </c>
      <c r="AD501" s="945" t="s">
        <v>219</v>
      </c>
      <c r="AE501" s="943">
        <v>1.9509173085477699E-2</v>
      </c>
      <c r="AF501" s="946">
        <v>105177.54601562432</v>
      </c>
      <c r="AG501" s="945" t="s">
        <v>219</v>
      </c>
      <c r="AH501" s="943">
        <v>2.3596904259658075E-2</v>
      </c>
      <c r="AI501" s="946">
        <v>165768.522130103</v>
      </c>
      <c r="AJ501" s="945" t="s">
        <v>219</v>
      </c>
      <c r="AK501" s="943">
        <v>4.7397363065605616E-2</v>
      </c>
      <c r="AL501" s="946">
        <v>364066.39900492947</v>
      </c>
      <c r="AM501" s="945" t="s">
        <v>219</v>
      </c>
      <c r="AN501" s="943">
        <v>1.6004437806181972E-2</v>
      </c>
      <c r="AO501" s="946">
        <v>84736.300975427832</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701"/>
  <sheetViews>
    <sheetView topLeftCell="A232" workbookViewId="0">
      <selection activeCell="G430" sqref="G430"/>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X</v>
      </c>
      <c r="Y2" s="35" t="str">
        <f>+IF(Parametres!$B$3=X$6,"O","")</f>
        <v>O</v>
      </c>
      <c r="Z2" s="35" t="str">
        <f>+IF(Parametres!$B$3=X$6,"U","")</f>
        <v>U</v>
      </c>
      <c r="AA2" s="35" t="str">
        <f>+IF(Parametres!$B$3=AA$6,"X","")</f>
        <v/>
      </c>
      <c r="AB2" s="35" t="str">
        <f>+IF(Parametres!$B$3=AA$6,"O","")</f>
        <v/>
      </c>
      <c r="AC2" s="35" t="str">
        <f>+IF(Parametres!$B$3=AA$6,"U","")</f>
        <v/>
      </c>
      <c r="AD2" s="35" t="str">
        <f>+IF(Parametres!$B$3=AD$6,"X","")</f>
        <v/>
      </c>
      <c r="AE2" s="35" t="str">
        <f>+IF(Parametres!$B$3=AD$6,"O","")</f>
        <v/>
      </c>
      <c r="AF2" s="35" t="str">
        <f>+IF(Parametres!$B$3=AD$6,"U","")</f>
        <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3935</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38196010.659999967</v>
      </c>
      <c r="F8" s="735"/>
      <c r="G8" s="736"/>
      <c r="H8" s="738">
        <v>2179097.79</v>
      </c>
      <c r="I8" s="735"/>
      <c r="J8" s="736"/>
      <c r="K8" s="738">
        <v>3708952.51</v>
      </c>
      <c r="L8" s="735"/>
      <c r="M8" s="736"/>
      <c r="N8" s="738">
        <v>4089927.92</v>
      </c>
      <c r="O8" s="735"/>
      <c r="P8" s="736"/>
      <c r="Q8" s="738">
        <v>3890022.88</v>
      </c>
      <c r="R8" s="735"/>
      <c r="S8" s="736"/>
      <c r="T8" s="738">
        <v>3906259.79</v>
      </c>
      <c r="U8" s="735"/>
      <c r="V8" s="736"/>
      <c r="W8" s="738">
        <v>2093787.3699999901</v>
      </c>
      <c r="X8" s="735"/>
      <c r="Y8" s="736"/>
      <c r="Z8" s="738">
        <v>4524162.07</v>
      </c>
      <c r="AA8" s="735"/>
      <c r="AB8" s="736"/>
      <c r="AC8" s="738">
        <v>4621444.4799999902</v>
      </c>
      <c r="AD8" s="735"/>
      <c r="AE8" s="736"/>
      <c r="AF8" s="738">
        <v>2442838.48</v>
      </c>
      <c r="AG8" s="735"/>
      <c r="AH8" s="736"/>
      <c r="AI8" s="738">
        <v>2470113.9900000002</v>
      </c>
      <c r="AJ8" s="735"/>
      <c r="AK8" s="736"/>
      <c r="AL8" s="738">
        <v>2101403.2899999898</v>
      </c>
      <c r="AM8" s="735"/>
      <c r="AN8" s="736"/>
      <c r="AO8" s="738">
        <v>2168000.09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183</v>
      </c>
      <c r="D9" s="740">
        <v>1942.5737704917985</v>
      </c>
      <c r="E9" s="741">
        <v>355490.99999999913</v>
      </c>
      <c r="F9" s="742">
        <v>10</v>
      </c>
      <c r="G9" s="740">
        <v>1336.5319999999999</v>
      </c>
      <c r="H9" s="743">
        <v>13365.32</v>
      </c>
      <c r="I9" s="742">
        <v>24</v>
      </c>
      <c r="J9" s="740">
        <v>2210.4766666666624</v>
      </c>
      <c r="K9" s="743">
        <v>53051.4399999999</v>
      </c>
      <c r="L9" s="742">
        <v>14</v>
      </c>
      <c r="M9" s="740">
        <v>2832.1014285714214</v>
      </c>
      <c r="N9" s="743">
        <v>39649.419999999896</v>
      </c>
      <c r="O9" s="742">
        <v>18</v>
      </c>
      <c r="P9" s="740">
        <v>2168.0938888888832</v>
      </c>
      <c r="Q9" s="743">
        <v>39025.6899999999</v>
      </c>
      <c r="R9" s="742">
        <v>18</v>
      </c>
      <c r="S9" s="740">
        <v>1997.7755555555498</v>
      </c>
      <c r="T9" s="743">
        <v>35959.959999999897</v>
      </c>
      <c r="U9" s="742">
        <v>15</v>
      </c>
      <c r="V9" s="740">
        <v>1651.8939999999934</v>
      </c>
      <c r="W9" s="743">
        <v>24778.409999999902</v>
      </c>
      <c r="X9" s="742">
        <v>23</v>
      </c>
      <c r="Y9" s="740">
        <v>1942.4756521739087</v>
      </c>
      <c r="Z9" s="743">
        <v>44676.9399999999</v>
      </c>
      <c r="AA9" s="742">
        <v>19</v>
      </c>
      <c r="AB9" s="740">
        <v>1667.12</v>
      </c>
      <c r="AC9" s="743">
        <v>31675.279999999999</v>
      </c>
      <c r="AD9" s="742">
        <v>16</v>
      </c>
      <c r="AE9" s="740">
        <v>1640.0056249999936</v>
      </c>
      <c r="AF9" s="743">
        <v>26240.089999999898</v>
      </c>
      <c r="AG9" s="742">
        <v>12</v>
      </c>
      <c r="AH9" s="740">
        <v>1802.2583333333332</v>
      </c>
      <c r="AI9" s="743">
        <v>21627.1</v>
      </c>
      <c r="AJ9" s="742">
        <v>8</v>
      </c>
      <c r="AK9" s="740">
        <v>2031.0612499999875</v>
      </c>
      <c r="AL9" s="743">
        <v>16248.4899999999</v>
      </c>
      <c r="AM9" s="742">
        <v>6</v>
      </c>
      <c r="AN9" s="740">
        <v>1532.1433333333316</v>
      </c>
      <c r="AO9" s="743">
        <v>9192.8599999999897</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489</v>
      </c>
      <c r="D10" s="740">
        <v>2368.9078118609341</v>
      </c>
      <c r="E10" s="741">
        <v>1158395.9199999967</v>
      </c>
      <c r="F10" s="742">
        <v>34</v>
      </c>
      <c r="G10" s="740">
        <v>2268.3158823529384</v>
      </c>
      <c r="H10" s="743">
        <v>77122.739999999903</v>
      </c>
      <c r="I10" s="742">
        <v>47</v>
      </c>
      <c r="J10" s="740">
        <v>2454.7580851063831</v>
      </c>
      <c r="K10" s="743">
        <v>115373.63</v>
      </c>
      <c r="L10" s="742">
        <v>56</v>
      </c>
      <c r="M10" s="740">
        <v>2919.921785714268</v>
      </c>
      <c r="N10" s="743">
        <v>163515.61999999901</v>
      </c>
      <c r="O10" s="742">
        <v>51</v>
      </c>
      <c r="P10" s="740">
        <v>2906.286862745098</v>
      </c>
      <c r="Q10" s="743">
        <v>148220.63</v>
      </c>
      <c r="R10" s="742">
        <v>51</v>
      </c>
      <c r="S10" s="740">
        <v>2441.8603921568629</v>
      </c>
      <c r="T10" s="743">
        <v>124534.88</v>
      </c>
      <c r="U10" s="742">
        <v>25</v>
      </c>
      <c r="V10" s="740">
        <v>2415.8503999999921</v>
      </c>
      <c r="W10" s="743">
        <v>60396.259999999798</v>
      </c>
      <c r="X10" s="742">
        <v>54</v>
      </c>
      <c r="Y10" s="740">
        <v>2267.4683333333151</v>
      </c>
      <c r="Z10" s="743">
        <v>122443.289999999</v>
      </c>
      <c r="AA10" s="742">
        <v>62</v>
      </c>
      <c r="AB10" s="740">
        <v>2284.2912903225647</v>
      </c>
      <c r="AC10" s="743">
        <v>141626.05999999901</v>
      </c>
      <c r="AD10" s="742">
        <v>26</v>
      </c>
      <c r="AE10" s="740">
        <v>2080.4761538461539</v>
      </c>
      <c r="AF10" s="743">
        <v>54092.38</v>
      </c>
      <c r="AG10" s="742">
        <v>32</v>
      </c>
      <c r="AH10" s="740">
        <v>1508.5387500000063</v>
      </c>
      <c r="AI10" s="743">
        <v>48273.240000000202</v>
      </c>
      <c r="AJ10" s="742">
        <v>27</v>
      </c>
      <c r="AK10" s="740">
        <v>2114.5018518518482</v>
      </c>
      <c r="AL10" s="743">
        <v>57091.549999999901</v>
      </c>
      <c r="AM10" s="742">
        <v>24</v>
      </c>
      <c r="AN10" s="740">
        <v>1904.4016666666666</v>
      </c>
      <c r="AO10" s="743">
        <v>45705.64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672</v>
      </c>
      <c r="D16" s="745">
        <v>2252.8079166666603</v>
      </c>
      <c r="E16" s="746">
        <v>1513886.9199999957</v>
      </c>
      <c r="F16" s="744">
        <v>44</v>
      </c>
      <c r="G16" s="745">
        <v>2056.546818181816</v>
      </c>
      <c r="H16" s="746">
        <v>90488.05999999991</v>
      </c>
      <c r="I16" s="744">
        <v>71</v>
      </c>
      <c r="J16" s="745">
        <v>2372.1840845070406</v>
      </c>
      <c r="K16" s="746">
        <v>168425.06999999989</v>
      </c>
      <c r="L16" s="744">
        <v>70</v>
      </c>
      <c r="M16" s="745">
        <v>2902.3577142856984</v>
      </c>
      <c r="N16" s="746">
        <v>203165.0399999989</v>
      </c>
      <c r="O16" s="744">
        <v>69</v>
      </c>
      <c r="P16" s="745">
        <v>2713.7147826086939</v>
      </c>
      <c r="Q16" s="746">
        <v>187246.31999999989</v>
      </c>
      <c r="R16" s="744">
        <v>69</v>
      </c>
      <c r="S16" s="745">
        <v>2326.0121739130423</v>
      </c>
      <c r="T16" s="746">
        <v>160494.83999999991</v>
      </c>
      <c r="U16" s="744">
        <v>40</v>
      </c>
      <c r="V16" s="745">
        <v>2129.3667499999924</v>
      </c>
      <c r="W16" s="746">
        <v>85174.669999999693</v>
      </c>
      <c r="X16" s="744">
        <v>77</v>
      </c>
      <c r="Y16" s="745">
        <v>2170.3925974025833</v>
      </c>
      <c r="Z16" s="746">
        <v>167120.2299999989</v>
      </c>
      <c r="AA16" s="744">
        <v>81</v>
      </c>
      <c r="AB16" s="745">
        <v>2139.5227160493705</v>
      </c>
      <c r="AC16" s="746">
        <v>173301.33999999901</v>
      </c>
      <c r="AD16" s="744">
        <v>42</v>
      </c>
      <c r="AE16" s="745">
        <v>1912.6778571428547</v>
      </c>
      <c r="AF16" s="746">
        <v>80332.469999999899</v>
      </c>
      <c r="AG16" s="744">
        <v>44</v>
      </c>
      <c r="AH16" s="745">
        <v>1588.6440909090954</v>
      </c>
      <c r="AI16" s="746">
        <v>69900.3400000002</v>
      </c>
      <c r="AJ16" s="744">
        <v>35</v>
      </c>
      <c r="AK16" s="745">
        <v>2095.4297142857085</v>
      </c>
      <c r="AL16" s="746">
        <v>73340.039999999804</v>
      </c>
      <c r="AM16" s="744">
        <v>30</v>
      </c>
      <c r="AN16" s="745">
        <v>1829.9499999999996</v>
      </c>
      <c r="AO16" s="746">
        <v>54898.499999999985</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41</v>
      </c>
      <c r="D18" s="750">
        <v>1567.3936585365843</v>
      </c>
      <c r="E18" s="751">
        <v>64263.139999999956</v>
      </c>
      <c r="F18" s="752">
        <v>2</v>
      </c>
      <c r="G18" s="750">
        <v>2875.9850000000001</v>
      </c>
      <c r="H18" s="753">
        <v>5751.97</v>
      </c>
      <c r="I18" s="752">
        <v>2</v>
      </c>
      <c r="J18" s="750">
        <v>1741.325</v>
      </c>
      <c r="K18" s="753">
        <v>3482.65</v>
      </c>
      <c r="L18" s="752">
        <v>4</v>
      </c>
      <c r="M18" s="750">
        <v>590.48999999999751</v>
      </c>
      <c r="N18" s="753">
        <v>2361.95999999999</v>
      </c>
      <c r="O18" s="752">
        <v>4</v>
      </c>
      <c r="P18" s="750">
        <v>2264.375</v>
      </c>
      <c r="Q18" s="753">
        <v>9057.5</v>
      </c>
      <c r="R18" s="752">
        <v>5</v>
      </c>
      <c r="S18" s="750">
        <v>1165.5819999999999</v>
      </c>
      <c r="T18" s="753">
        <v>5827.91</v>
      </c>
      <c r="U18" s="752">
        <v>0</v>
      </c>
      <c r="V18" s="750">
        <v>0</v>
      </c>
      <c r="W18" s="753">
        <v>0</v>
      </c>
      <c r="X18" s="752">
        <v>3</v>
      </c>
      <c r="Y18" s="750">
        <v>913.28999999999667</v>
      </c>
      <c r="Z18" s="753">
        <v>2739.8699999999899</v>
      </c>
      <c r="AA18" s="752">
        <v>6</v>
      </c>
      <c r="AB18" s="750">
        <v>1521.5766666666698</v>
      </c>
      <c r="AC18" s="753">
        <v>9129.4600000000191</v>
      </c>
      <c r="AD18" s="752">
        <v>3</v>
      </c>
      <c r="AE18" s="750">
        <v>2567.5099999999966</v>
      </c>
      <c r="AF18" s="753">
        <v>7702.5299999999897</v>
      </c>
      <c r="AG18" s="752">
        <v>6</v>
      </c>
      <c r="AH18" s="750">
        <v>1038.88333333333</v>
      </c>
      <c r="AI18" s="753">
        <v>6233.2999999999802</v>
      </c>
      <c r="AJ18" s="752">
        <v>2</v>
      </c>
      <c r="AK18" s="750">
        <v>1396.229999999995</v>
      </c>
      <c r="AL18" s="753">
        <v>2792.45999999999</v>
      </c>
      <c r="AM18" s="752">
        <v>4</v>
      </c>
      <c r="AN18" s="750">
        <v>2295.8824999999974</v>
      </c>
      <c r="AO18" s="753">
        <v>9183.5299999999897</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20</v>
      </c>
      <c r="D20" s="740">
        <v>1710.9614999999981</v>
      </c>
      <c r="E20" s="741">
        <v>34219.22999999996</v>
      </c>
      <c r="F20" s="742">
        <v>0</v>
      </c>
      <c r="G20" s="740">
        <v>0</v>
      </c>
      <c r="H20" s="743">
        <v>0</v>
      </c>
      <c r="I20" s="742">
        <v>2</v>
      </c>
      <c r="J20" s="740">
        <v>1747.279999999995</v>
      </c>
      <c r="K20" s="743">
        <v>3494.5599999999899</v>
      </c>
      <c r="L20" s="742">
        <v>0</v>
      </c>
      <c r="M20" s="740">
        <v>0</v>
      </c>
      <c r="N20" s="743">
        <v>0</v>
      </c>
      <c r="O20" s="742">
        <v>0</v>
      </c>
      <c r="P20" s="740">
        <v>0</v>
      </c>
      <c r="Q20" s="743">
        <v>0</v>
      </c>
      <c r="R20" s="742">
        <v>0</v>
      </c>
      <c r="S20" s="740">
        <v>0</v>
      </c>
      <c r="T20" s="743">
        <v>0</v>
      </c>
      <c r="U20" s="742">
        <v>0</v>
      </c>
      <c r="V20" s="740">
        <v>0</v>
      </c>
      <c r="W20" s="743">
        <v>0</v>
      </c>
      <c r="X20" s="742">
        <v>5</v>
      </c>
      <c r="Y20" s="740">
        <v>2550.9160000000002</v>
      </c>
      <c r="Z20" s="743">
        <v>12754.58</v>
      </c>
      <c r="AA20" s="742">
        <v>1</v>
      </c>
      <c r="AB20" s="740">
        <v>1402.08</v>
      </c>
      <c r="AC20" s="743">
        <v>1402.08</v>
      </c>
      <c r="AD20" s="742">
        <v>1</v>
      </c>
      <c r="AE20" s="740">
        <v>4920.6399999999903</v>
      </c>
      <c r="AF20" s="743">
        <v>4920.6399999999903</v>
      </c>
      <c r="AG20" s="742">
        <v>2</v>
      </c>
      <c r="AH20" s="740">
        <v>383.47999999999553</v>
      </c>
      <c r="AI20" s="743">
        <v>766.95999999999106</v>
      </c>
      <c r="AJ20" s="742">
        <v>3</v>
      </c>
      <c r="AK20" s="740">
        <v>1478.87333333333</v>
      </c>
      <c r="AL20" s="743">
        <v>4436.6199999999899</v>
      </c>
      <c r="AM20" s="742">
        <v>6</v>
      </c>
      <c r="AN20" s="740">
        <v>1073.9649999999999</v>
      </c>
      <c r="AO20" s="743">
        <v>6443.79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91424.37</v>
      </c>
      <c r="F22" s="739"/>
      <c r="G22" s="740"/>
      <c r="H22" s="743">
        <v>5000</v>
      </c>
      <c r="I22" s="739"/>
      <c r="J22" s="740"/>
      <c r="K22" s="743">
        <v>4000</v>
      </c>
      <c r="L22" s="739"/>
      <c r="M22" s="740"/>
      <c r="N22" s="743">
        <v>7500</v>
      </c>
      <c r="O22" s="739"/>
      <c r="P22" s="740"/>
      <c r="Q22" s="743">
        <v>6030.3699999999899</v>
      </c>
      <c r="R22" s="739"/>
      <c r="S22" s="740"/>
      <c r="T22" s="743">
        <v>9930</v>
      </c>
      <c r="U22" s="739"/>
      <c r="V22" s="740"/>
      <c r="W22" s="743">
        <v>6100</v>
      </c>
      <c r="X22" s="739"/>
      <c r="Y22" s="740"/>
      <c r="Z22" s="743">
        <v>10000</v>
      </c>
      <c r="AA22" s="739"/>
      <c r="AB22" s="740"/>
      <c r="AC22" s="743">
        <v>4315</v>
      </c>
      <c r="AD22" s="739"/>
      <c r="AE22" s="740"/>
      <c r="AF22" s="743">
        <v>14800</v>
      </c>
      <c r="AG22" s="739"/>
      <c r="AH22" s="740"/>
      <c r="AI22" s="743">
        <v>10100</v>
      </c>
      <c r="AJ22" s="739"/>
      <c r="AK22" s="740"/>
      <c r="AL22" s="743">
        <v>7700</v>
      </c>
      <c r="AM22" s="739"/>
      <c r="AN22" s="740"/>
      <c r="AO22" s="743">
        <v>5949</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15.171051893408135</v>
      </c>
      <c r="E24" s="741">
        <v>10816.960000000001</v>
      </c>
      <c r="F24" s="742"/>
      <c r="G24" s="740">
        <v>6.5217391304347823</v>
      </c>
      <c r="H24" s="743">
        <v>300</v>
      </c>
      <c r="I24" s="742"/>
      <c r="J24" s="740">
        <v>115.453698630137</v>
      </c>
      <c r="K24" s="743">
        <v>8428.1200000000008</v>
      </c>
      <c r="L24" s="742"/>
      <c r="M24" s="740">
        <v>0</v>
      </c>
      <c r="N24" s="743">
        <v>0</v>
      </c>
      <c r="O24" s="742"/>
      <c r="P24" s="740">
        <v>0</v>
      </c>
      <c r="Q24" s="743">
        <v>0</v>
      </c>
      <c r="R24" s="742"/>
      <c r="S24" s="740">
        <v>10.810810810810811</v>
      </c>
      <c r="T24" s="743">
        <v>800</v>
      </c>
      <c r="U24" s="742"/>
      <c r="V24" s="740">
        <v>0</v>
      </c>
      <c r="W24" s="743">
        <v>0</v>
      </c>
      <c r="X24" s="742"/>
      <c r="Y24" s="740">
        <v>0</v>
      </c>
      <c r="Z24" s="743">
        <v>0</v>
      </c>
      <c r="AA24" s="742"/>
      <c r="AB24" s="740">
        <v>0</v>
      </c>
      <c r="AC24" s="743">
        <v>0</v>
      </c>
      <c r="AD24" s="742"/>
      <c r="AE24" s="740">
        <v>0</v>
      </c>
      <c r="AF24" s="743">
        <v>0</v>
      </c>
      <c r="AG24" s="742"/>
      <c r="AH24" s="740">
        <v>0</v>
      </c>
      <c r="AI24" s="743">
        <v>0</v>
      </c>
      <c r="AJ24" s="742"/>
      <c r="AK24" s="740">
        <v>0</v>
      </c>
      <c r="AL24" s="743">
        <v>0</v>
      </c>
      <c r="AM24" s="742"/>
      <c r="AN24" s="740">
        <v>37.907058823529411</v>
      </c>
      <c r="AO24" s="743">
        <v>1288.8399999999999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882.44753155680223</v>
      </c>
      <c r="E25" s="741">
        <v>629185.09</v>
      </c>
      <c r="F25" s="742"/>
      <c r="G25" s="740">
        <v>883.63217391304352</v>
      </c>
      <c r="H25" s="743">
        <v>40647.08</v>
      </c>
      <c r="I25" s="742"/>
      <c r="J25" s="740">
        <v>899.34424657534248</v>
      </c>
      <c r="K25" s="743">
        <v>65652.13</v>
      </c>
      <c r="L25" s="742"/>
      <c r="M25" s="740">
        <v>926.11297297297301</v>
      </c>
      <c r="N25" s="743">
        <v>68532.36</v>
      </c>
      <c r="O25" s="742"/>
      <c r="P25" s="740">
        <v>765.92219178082189</v>
      </c>
      <c r="Q25" s="743">
        <v>55912.32</v>
      </c>
      <c r="R25" s="742"/>
      <c r="S25" s="740">
        <v>791.51256756756754</v>
      </c>
      <c r="T25" s="743">
        <v>58571.93</v>
      </c>
      <c r="U25" s="742"/>
      <c r="V25" s="740">
        <v>775.005</v>
      </c>
      <c r="W25" s="743">
        <v>31000.2</v>
      </c>
      <c r="X25" s="742"/>
      <c r="Y25" s="740">
        <v>762.33600000000001</v>
      </c>
      <c r="Z25" s="743">
        <v>60986.879999999997</v>
      </c>
      <c r="AA25" s="742"/>
      <c r="AB25" s="740">
        <v>880.2113793103448</v>
      </c>
      <c r="AC25" s="743">
        <v>76578.39</v>
      </c>
      <c r="AD25" s="742"/>
      <c r="AE25" s="740">
        <v>1020.2339999999999</v>
      </c>
      <c r="AF25" s="743">
        <v>45910.53</v>
      </c>
      <c r="AG25" s="742"/>
      <c r="AH25" s="740">
        <v>844.52660000000003</v>
      </c>
      <c r="AI25" s="743">
        <v>42226.33</v>
      </c>
      <c r="AJ25" s="742"/>
      <c r="AK25" s="740">
        <v>1044.0162162162162</v>
      </c>
      <c r="AL25" s="743">
        <v>38628.6</v>
      </c>
      <c r="AM25" s="742"/>
      <c r="AN25" s="740">
        <v>1309.9511764705881</v>
      </c>
      <c r="AO25" s="743">
        <v>44538.34</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10.581304347826086</v>
      </c>
      <c r="E26" s="741">
        <v>7544.4699999999993</v>
      </c>
      <c r="F26" s="742"/>
      <c r="G26" s="740">
        <v>0</v>
      </c>
      <c r="H26" s="743">
        <v>0</v>
      </c>
      <c r="I26" s="742"/>
      <c r="J26" s="740">
        <v>0</v>
      </c>
      <c r="K26" s="743">
        <v>0</v>
      </c>
      <c r="L26" s="742"/>
      <c r="M26" s="740">
        <v>0</v>
      </c>
      <c r="N26" s="743">
        <v>0</v>
      </c>
      <c r="O26" s="742"/>
      <c r="P26" s="740">
        <v>18.605890410958903</v>
      </c>
      <c r="Q26" s="743">
        <v>1358.23</v>
      </c>
      <c r="R26" s="742"/>
      <c r="S26" s="740">
        <v>0</v>
      </c>
      <c r="T26" s="743">
        <v>0</v>
      </c>
      <c r="U26" s="742"/>
      <c r="V26" s="740">
        <v>67.474999999999994</v>
      </c>
      <c r="W26" s="743">
        <v>2699</v>
      </c>
      <c r="X26" s="742"/>
      <c r="Y26" s="740">
        <v>7.1227500000000008</v>
      </c>
      <c r="Z26" s="743">
        <v>569.82000000000005</v>
      </c>
      <c r="AA26" s="742"/>
      <c r="AB26" s="740">
        <v>0</v>
      </c>
      <c r="AC26" s="743">
        <v>0</v>
      </c>
      <c r="AD26" s="742"/>
      <c r="AE26" s="740">
        <v>36.18311111111111</v>
      </c>
      <c r="AF26" s="743">
        <v>1628.24</v>
      </c>
      <c r="AG26" s="742"/>
      <c r="AH26" s="740">
        <v>12.8804</v>
      </c>
      <c r="AI26" s="743">
        <v>644.02</v>
      </c>
      <c r="AJ26" s="742"/>
      <c r="AK26" s="740">
        <v>17.436756756756758</v>
      </c>
      <c r="AL26" s="743">
        <v>645.16</v>
      </c>
      <c r="AM26" s="742"/>
      <c r="AN26" s="740">
        <v>0</v>
      </c>
      <c r="AO26" s="743">
        <v>0</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713</v>
      </c>
      <c r="D27" s="745">
        <v>908.19988779803634</v>
      </c>
      <c r="E27" s="746">
        <v>647546.5199999999</v>
      </c>
      <c r="F27" s="744">
        <v>46</v>
      </c>
      <c r="G27" s="745">
        <v>890.15391304347827</v>
      </c>
      <c r="H27" s="746">
        <v>40947.08</v>
      </c>
      <c r="I27" s="744">
        <v>73</v>
      </c>
      <c r="J27" s="745">
        <v>1014.7979452054794</v>
      </c>
      <c r="K27" s="746">
        <v>74080.25</v>
      </c>
      <c r="L27" s="744">
        <v>74</v>
      </c>
      <c r="M27" s="745">
        <v>926.11297297297301</v>
      </c>
      <c r="N27" s="746">
        <v>68532.36</v>
      </c>
      <c r="O27" s="744">
        <v>73</v>
      </c>
      <c r="P27" s="745">
        <v>784.52808219178087</v>
      </c>
      <c r="Q27" s="746">
        <v>57270.55</v>
      </c>
      <c r="R27" s="744">
        <v>74</v>
      </c>
      <c r="S27" s="745">
        <v>802.32337837837838</v>
      </c>
      <c r="T27" s="746">
        <v>59371.93</v>
      </c>
      <c r="U27" s="744">
        <v>40</v>
      </c>
      <c r="V27" s="745">
        <v>842.4799999999999</v>
      </c>
      <c r="W27" s="746">
        <v>33699.199999999997</v>
      </c>
      <c r="X27" s="744">
        <v>80</v>
      </c>
      <c r="Y27" s="745">
        <v>769.45875000000001</v>
      </c>
      <c r="Z27" s="746">
        <v>61556.7</v>
      </c>
      <c r="AA27" s="744">
        <v>87</v>
      </c>
      <c r="AB27" s="745">
        <v>880.2113793103448</v>
      </c>
      <c r="AC27" s="746">
        <v>76578.39</v>
      </c>
      <c r="AD27" s="744">
        <v>45</v>
      </c>
      <c r="AE27" s="745">
        <v>1056.4171111111111</v>
      </c>
      <c r="AF27" s="746">
        <v>47538.77</v>
      </c>
      <c r="AG27" s="744">
        <v>50</v>
      </c>
      <c r="AH27" s="745">
        <v>857.40699999999993</v>
      </c>
      <c r="AI27" s="746">
        <v>42870.35</v>
      </c>
      <c r="AJ27" s="744">
        <v>37</v>
      </c>
      <c r="AK27" s="745">
        <v>1061.4529729729729</v>
      </c>
      <c r="AL27" s="746">
        <v>39273.760000000002</v>
      </c>
      <c r="AM27" s="744">
        <v>34</v>
      </c>
      <c r="AN27" s="745">
        <v>1347.8582352941175</v>
      </c>
      <c r="AO27" s="746">
        <v>45827.179999999993</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733</v>
      </c>
      <c r="D30" s="760">
        <v>3207.8310777626139</v>
      </c>
      <c r="E30" s="761">
        <v>2351340.179999996</v>
      </c>
      <c r="F30" s="759">
        <v>46</v>
      </c>
      <c r="G30" s="760">
        <v>3091.0241304347805</v>
      </c>
      <c r="H30" s="761">
        <v>142187.1099999999</v>
      </c>
      <c r="I30" s="759">
        <v>75</v>
      </c>
      <c r="J30" s="760">
        <v>3379.767066666665</v>
      </c>
      <c r="K30" s="761">
        <v>253482.52999999988</v>
      </c>
      <c r="L30" s="759">
        <v>74</v>
      </c>
      <c r="M30" s="760">
        <v>3804.8562162162011</v>
      </c>
      <c r="N30" s="761">
        <v>281559.35999999888</v>
      </c>
      <c r="O30" s="759">
        <v>73</v>
      </c>
      <c r="P30" s="760">
        <v>3556.2293150684914</v>
      </c>
      <c r="Q30" s="761">
        <v>259604.73999999987</v>
      </c>
      <c r="R30" s="759">
        <v>74</v>
      </c>
      <c r="S30" s="760">
        <v>3184.1172972972959</v>
      </c>
      <c r="T30" s="761">
        <v>235624.67999999991</v>
      </c>
      <c r="U30" s="759">
        <v>40</v>
      </c>
      <c r="V30" s="760">
        <v>3124.3467499999924</v>
      </c>
      <c r="W30" s="761">
        <v>124973.86999999969</v>
      </c>
      <c r="X30" s="759">
        <v>85</v>
      </c>
      <c r="Y30" s="760">
        <v>2990.2515294117516</v>
      </c>
      <c r="Z30" s="761">
        <v>254171.3799999989</v>
      </c>
      <c r="AA30" s="759">
        <v>88</v>
      </c>
      <c r="AB30" s="760">
        <v>3008.2530681818071</v>
      </c>
      <c r="AC30" s="761">
        <v>264726.26999999903</v>
      </c>
      <c r="AD30" s="759">
        <v>46</v>
      </c>
      <c r="AE30" s="760">
        <v>3375.9654347826063</v>
      </c>
      <c r="AF30" s="761">
        <v>155294.40999999989</v>
      </c>
      <c r="AG30" s="759">
        <v>52</v>
      </c>
      <c r="AH30" s="760">
        <v>2497.5182692307726</v>
      </c>
      <c r="AI30" s="761">
        <v>129870.95000000017</v>
      </c>
      <c r="AJ30" s="759">
        <v>40</v>
      </c>
      <c r="AK30" s="760">
        <v>3188.5719999999951</v>
      </c>
      <c r="AL30" s="761">
        <v>127542.8799999998</v>
      </c>
      <c r="AM30" s="759">
        <v>40</v>
      </c>
      <c r="AN30" s="760">
        <v>3057.5499999999988</v>
      </c>
      <c r="AO30" s="761">
        <v>122301.99999999996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0.3042858801399414</v>
      </c>
      <c r="D34" s="770">
        <v>673.50460028050497</v>
      </c>
      <c r="E34" s="758">
        <v>480208.78</v>
      </c>
      <c r="F34" s="769">
        <v>0.35900508343565601</v>
      </c>
      <c r="G34" s="770">
        <v>751.10130434782616</v>
      </c>
      <c r="H34" s="771">
        <v>34550.660000000003</v>
      </c>
      <c r="I34" s="769">
        <v>0.27013795541003066</v>
      </c>
      <c r="J34" s="770">
        <v>636.14794520547946</v>
      </c>
      <c r="K34" s="771">
        <v>46438.8</v>
      </c>
      <c r="L34" s="769">
        <v>0.3078577023943343</v>
      </c>
      <c r="M34" s="770">
        <v>855.04148648648652</v>
      </c>
      <c r="N34" s="771">
        <v>63273.07</v>
      </c>
      <c r="O34" s="769">
        <v>0.24820204721436409</v>
      </c>
      <c r="P34" s="770">
        <v>667.43849315068496</v>
      </c>
      <c r="Q34" s="771">
        <v>48723.01</v>
      </c>
      <c r="R34" s="769">
        <v>0.21053998926785431</v>
      </c>
      <c r="S34" s="770">
        <v>473.21067567567565</v>
      </c>
      <c r="T34" s="771">
        <v>35017.589999999997</v>
      </c>
      <c r="U34" s="769">
        <v>0.30022752069365333</v>
      </c>
      <c r="V34" s="770">
        <v>639.29449999999997</v>
      </c>
      <c r="W34" s="771">
        <v>25571.78</v>
      </c>
      <c r="X34" s="769">
        <v>0.33547024875176906</v>
      </c>
      <c r="Y34" s="770">
        <v>712.28762500000005</v>
      </c>
      <c r="Z34" s="771">
        <v>56983.01</v>
      </c>
      <c r="AA34" s="769">
        <v>0.34952376462746609</v>
      </c>
      <c r="AB34" s="770">
        <v>732.91839080459772</v>
      </c>
      <c r="AC34" s="771">
        <v>63763.9</v>
      </c>
      <c r="AD34" s="769">
        <v>0.34726233884250629</v>
      </c>
      <c r="AE34" s="770">
        <v>679.36088888888889</v>
      </c>
      <c r="AF34" s="771">
        <v>30571.24</v>
      </c>
      <c r="AG34" s="769">
        <v>0.36906116665379374</v>
      </c>
      <c r="AH34" s="770">
        <v>561.95940000000007</v>
      </c>
      <c r="AI34" s="771">
        <v>28097.97</v>
      </c>
      <c r="AJ34" s="769">
        <v>0.31392099300561604</v>
      </c>
      <c r="AK34" s="770">
        <v>645.93486486486483</v>
      </c>
      <c r="AL34" s="771">
        <v>23899.59</v>
      </c>
      <c r="AM34" s="769">
        <v>0.36387985836278919</v>
      </c>
      <c r="AN34" s="770">
        <v>685.82823529411769</v>
      </c>
      <c r="AO34" s="771">
        <v>23318.16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0.27412175730633226</v>
      </c>
      <c r="D35" s="773">
        <v>248.95734922861149</v>
      </c>
      <c r="E35" s="774">
        <v>177506.59</v>
      </c>
      <c r="F35" s="772">
        <v>0.29998817986532861</v>
      </c>
      <c r="G35" s="773">
        <v>267.03565217391304</v>
      </c>
      <c r="H35" s="775">
        <v>12283.64</v>
      </c>
      <c r="I35" s="772">
        <v>0.30043054660317697</v>
      </c>
      <c r="J35" s="773">
        <v>304.87630136986303</v>
      </c>
      <c r="K35" s="775">
        <v>22255.97</v>
      </c>
      <c r="L35" s="772">
        <v>0.29634423796291265</v>
      </c>
      <c r="M35" s="773">
        <v>274.44824324324321</v>
      </c>
      <c r="N35" s="775">
        <v>20309.169999999998</v>
      </c>
      <c r="O35" s="772">
        <v>0.29711867617824522</v>
      </c>
      <c r="P35" s="773">
        <v>233.09794520547948</v>
      </c>
      <c r="Q35" s="775">
        <v>17016.150000000001</v>
      </c>
      <c r="R35" s="772">
        <v>0.29999833254536273</v>
      </c>
      <c r="S35" s="773">
        <v>240.69567567567566</v>
      </c>
      <c r="T35" s="775">
        <v>17811.48</v>
      </c>
      <c r="U35" s="772">
        <v>3.262985471465198E-3</v>
      </c>
      <c r="V35" s="773">
        <v>2.7489999999999997</v>
      </c>
      <c r="W35" s="775">
        <v>109.96</v>
      </c>
      <c r="X35" s="772">
        <v>0.26999709211182538</v>
      </c>
      <c r="Y35" s="773">
        <v>207.75162500000002</v>
      </c>
      <c r="Z35" s="775">
        <v>16620.13</v>
      </c>
      <c r="AA35" s="772">
        <v>0.26932885374059184</v>
      </c>
      <c r="AB35" s="773">
        <v>237.06632183908047</v>
      </c>
      <c r="AC35" s="775">
        <v>20624.77</v>
      </c>
      <c r="AD35" s="772">
        <v>0.29777379599850817</v>
      </c>
      <c r="AE35" s="773">
        <v>314.57333333333332</v>
      </c>
      <c r="AF35" s="775">
        <v>14155.8</v>
      </c>
      <c r="AG35" s="772">
        <v>0.26999336371174948</v>
      </c>
      <c r="AH35" s="773">
        <v>231.49419999999998</v>
      </c>
      <c r="AI35" s="775">
        <v>11574.71</v>
      </c>
      <c r="AJ35" s="772">
        <v>0.27998974378821889</v>
      </c>
      <c r="AK35" s="773">
        <v>297.19594594594594</v>
      </c>
      <c r="AL35" s="775">
        <v>10996.25</v>
      </c>
      <c r="AM35" s="772">
        <v>0.30000885937122906</v>
      </c>
      <c r="AN35" s="773">
        <v>404.36941176470589</v>
      </c>
      <c r="AO35" s="775">
        <v>13748.56</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122.99883590462835</v>
      </c>
      <c r="E36" s="758">
        <v>87698.170000000013</v>
      </c>
      <c r="F36" s="747"/>
      <c r="G36" s="770">
        <v>164.26630434782609</v>
      </c>
      <c r="H36" s="771">
        <v>7556.25</v>
      </c>
      <c r="I36" s="747"/>
      <c r="J36" s="770">
        <v>117.11219178082193</v>
      </c>
      <c r="K36" s="771">
        <v>8549.19</v>
      </c>
      <c r="L36" s="747"/>
      <c r="M36" s="770">
        <v>115.96513513513514</v>
      </c>
      <c r="N36" s="771">
        <v>8581.42</v>
      </c>
      <c r="O36" s="747"/>
      <c r="P36" s="770">
        <v>51.421369863013702</v>
      </c>
      <c r="Q36" s="771">
        <v>3753.76</v>
      </c>
      <c r="R36" s="747"/>
      <c r="S36" s="770">
        <v>153.52486486486487</v>
      </c>
      <c r="T36" s="771">
        <v>11360.84</v>
      </c>
      <c r="U36" s="747"/>
      <c r="V36" s="770">
        <v>130.5265</v>
      </c>
      <c r="W36" s="771">
        <v>5221.0600000000004</v>
      </c>
      <c r="X36" s="747"/>
      <c r="Y36" s="770">
        <v>95.092999999999989</v>
      </c>
      <c r="Z36" s="771">
        <v>7607.44</v>
      </c>
      <c r="AA36" s="747"/>
      <c r="AB36" s="770">
        <v>120.29333333333334</v>
      </c>
      <c r="AC36" s="771">
        <v>10465.52</v>
      </c>
      <c r="AD36" s="747"/>
      <c r="AE36" s="770">
        <v>123.12511111111111</v>
      </c>
      <c r="AF36" s="771">
        <v>5540.63</v>
      </c>
      <c r="AG36" s="747"/>
      <c r="AH36" s="770">
        <v>156.3466</v>
      </c>
      <c r="AI36" s="771">
        <v>7817.33</v>
      </c>
      <c r="AJ36" s="747"/>
      <c r="AK36" s="770">
        <v>233.92756756756756</v>
      </c>
      <c r="AL36" s="771">
        <v>8655.32</v>
      </c>
      <c r="AM36" s="747"/>
      <c r="AN36" s="770">
        <v>76.159117647058821</v>
      </c>
      <c r="AO36" s="771">
        <v>2589.41</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21.524347826086956</v>
      </c>
      <c r="E37" s="758">
        <v>15346.86</v>
      </c>
      <c r="F37" s="747"/>
      <c r="G37" s="770">
        <v>8.37695652173913</v>
      </c>
      <c r="H37" s="771">
        <v>385.34</v>
      </c>
      <c r="I37" s="747"/>
      <c r="J37" s="770">
        <v>17.555205479452056</v>
      </c>
      <c r="K37" s="771">
        <v>1281.53</v>
      </c>
      <c r="L37" s="747"/>
      <c r="M37" s="770">
        <v>4.4041891891891893</v>
      </c>
      <c r="N37" s="771">
        <v>325.91000000000003</v>
      </c>
      <c r="O37" s="747"/>
      <c r="P37" s="770">
        <v>1.516027397260274</v>
      </c>
      <c r="Q37" s="771">
        <v>110.67</v>
      </c>
      <c r="R37" s="747"/>
      <c r="S37" s="770">
        <v>13.206486486486487</v>
      </c>
      <c r="T37" s="771">
        <v>977.28</v>
      </c>
      <c r="U37" s="747"/>
      <c r="V37" s="770">
        <v>4.6237499999999994</v>
      </c>
      <c r="W37" s="771">
        <v>184.95</v>
      </c>
      <c r="X37" s="747"/>
      <c r="Y37" s="770">
        <v>33.065624999999997</v>
      </c>
      <c r="Z37" s="771">
        <v>2645.25</v>
      </c>
      <c r="AA37" s="747"/>
      <c r="AB37" s="770">
        <v>23.456091954022988</v>
      </c>
      <c r="AC37" s="771">
        <v>2040.68</v>
      </c>
      <c r="AD37" s="747"/>
      <c r="AE37" s="770">
        <v>36.238888888888887</v>
      </c>
      <c r="AF37" s="771">
        <v>1630.75</v>
      </c>
      <c r="AG37" s="747"/>
      <c r="AH37" s="770">
        <v>16.863599999999998</v>
      </c>
      <c r="AI37" s="771">
        <v>843.18</v>
      </c>
      <c r="AJ37" s="747"/>
      <c r="AK37" s="770">
        <v>108.85891891891893</v>
      </c>
      <c r="AL37" s="771">
        <v>4027.78</v>
      </c>
      <c r="AM37" s="747"/>
      <c r="AN37" s="770">
        <v>26.280588235294118</v>
      </c>
      <c r="AO37" s="771">
        <v>893.54</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122.40061711079946</v>
      </c>
      <c r="E38" s="774">
        <v>87271.640000000014</v>
      </c>
      <c r="F38" s="776"/>
      <c r="G38" s="773">
        <v>127.07739130434784</v>
      </c>
      <c r="H38" s="775">
        <v>5845.56</v>
      </c>
      <c r="I38" s="776"/>
      <c r="J38" s="773">
        <v>32.798493150684934</v>
      </c>
      <c r="K38" s="775">
        <v>2394.29</v>
      </c>
      <c r="L38" s="776"/>
      <c r="M38" s="773">
        <v>142.6754054054054</v>
      </c>
      <c r="N38" s="775">
        <v>10557.98</v>
      </c>
      <c r="O38" s="776"/>
      <c r="P38" s="773">
        <v>164.94</v>
      </c>
      <c r="Q38" s="775">
        <v>12040.62</v>
      </c>
      <c r="R38" s="776"/>
      <c r="S38" s="773">
        <v>132.78283783783783</v>
      </c>
      <c r="T38" s="775">
        <v>9825.93</v>
      </c>
      <c r="U38" s="776"/>
      <c r="V38" s="773">
        <v>185.78149999999999</v>
      </c>
      <c r="W38" s="775">
        <v>7431.26</v>
      </c>
      <c r="X38" s="776"/>
      <c r="Y38" s="773">
        <v>79.675375000000003</v>
      </c>
      <c r="Z38" s="775">
        <v>6374.03</v>
      </c>
      <c r="AA38" s="776"/>
      <c r="AB38" s="773">
        <v>65.982068965517243</v>
      </c>
      <c r="AC38" s="775">
        <v>5740.44</v>
      </c>
      <c r="AD38" s="776"/>
      <c r="AE38" s="773">
        <v>174.15711111111111</v>
      </c>
      <c r="AF38" s="775">
        <v>7837.07</v>
      </c>
      <c r="AG38" s="776"/>
      <c r="AH38" s="773">
        <v>159.8588</v>
      </c>
      <c r="AI38" s="775">
        <v>7992.94</v>
      </c>
      <c r="AJ38" s="776"/>
      <c r="AK38" s="773">
        <v>212.08675675675676</v>
      </c>
      <c r="AL38" s="775">
        <v>7847.21</v>
      </c>
      <c r="AM38" s="776"/>
      <c r="AN38" s="773">
        <v>99.538529411764699</v>
      </c>
      <c r="AO38" s="775">
        <v>3384.31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144.0368863955116</v>
      </c>
      <c r="E39" s="758">
        <v>102698.29999999977</v>
      </c>
      <c r="F39" s="747"/>
      <c r="G39" s="770">
        <v>158.61695652173893</v>
      </c>
      <c r="H39" s="771">
        <v>7296.3799999999901</v>
      </c>
      <c r="I39" s="747"/>
      <c r="J39" s="770">
        <v>-25.284383561643835</v>
      </c>
      <c r="K39" s="771">
        <v>-1845.76</v>
      </c>
      <c r="L39" s="747"/>
      <c r="M39" s="770">
        <v>152.39000000000001</v>
      </c>
      <c r="N39" s="771">
        <v>11276.86</v>
      </c>
      <c r="O39" s="747"/>
      <c r="P39" s="770">
        <v>131.05397260273958</v>
      </c>
      <c r="Q39" s="771">
        <v>9566.9399999999896</v>
      </c>
      <c r="R39" s="747"/>
      <c r="S39" s="770">
        <v>164.58405405405404</v>
      </c>
      <c r="T39" s="771">
        <v>12179.22</v>
      </c>
      <c r="U39" s="747"/>
      <c r="V39" s="770">
        <v>266.85924999999753</v>
      </c>
      <c r="W39" s="771">
        <v>10674.369999999901</v>
      </c>
      <c r="X39" s="747"/>
      <c r="Y39" s="770">
        <v>39.759500000000003</v>
      </c>
      <c r="Z39" s="771">
        <v>3180.76</v>
      </c>
      <c r="AA39" s="747"/>
      <c r="AB39" s="770">
        <v>8.5896551724137815</v>
      </c>
      <c r="AC39" s="771">
        <v>747.29999999999905</v>
      </c>
      <c r="AD39" s="747"/>
      <c r="AE39" s="770">
        <v>180.94755555555534</v>
      </c>
      <c r="AF39" s="771">
        <v>8142.6399999999903</v>
      </c>
      <c r="AG39" s="747"/>
      <c r="AH39" s="770">
        <v>224.68360000000001</v>
      </c>
      <c r="AI39" s="771">
        <v>11234.18</v>
      </c>
      <c r="AJ39" s="747"/>
      <c r="AK39" s="770">
        <v>527.05567567567573</v>
      </c>
      <c r="AL39" s="771">
        <v>19501.060000000001</v>
      </c>
      <c r="AM39" s="747"/>
      <c r="AN39" s="770">
        <v>316.01029411764415</v>
      </c>
      <c r="AO39" s="771">
        <v>10744.3499999999</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430.43816269284702</v>
      </c>
      <c r="E40" s="758">
        <v>306902.40999999992</v>
      </c>
      <c r="F40" s="747"/>
      <c r="G40" s="770">
        <v>488.54978260869569</v>
      </c>
      <c r="H40" s="771">
        <v>22473.29</v>
      </c>
      <c r="I40" s="747"/>
      <c r="J40" s="770">
        <v>418.82698630136986</v>
      </c>
      <c r="K40" s="771">
        <v>30574.37</v>
      </c>
      <c r="L40" s="747"/>
      <c r="M40" s="770">
        <v>473.94432432432427</v>
      </c>
      <c r="N40" s="771">
        <v>35071.879999999997</v>
      </c>
      <c r="O40" s="747"/>
      <c r="P40" s="770">
        <v>474.72863013698634</v>
      </c>
      <c r="Q40" s="771">
        <v>34655.19</v>
      </c>
      <c r="R40" s="747"/>
      <c r="S40" s="770">
        <v>644.70648648648648</v>
      </c>
      <c r="T40" s="771">
        <v>47708.28</v>
      </c>
      <c r="U40" s="747"/>
      <c r="V40" s="770">
        <v>1001.4042499999999</v>
      </c>
      <c r="W40" s="771">
        <v>40056.17</v>
      </c>
      <c r="X40" s="747"/>
      <c r="Y40" s="770">
        <v>565.70337499999994</v>
      </c>
      <c r="Z40" s="771">
        <v>45256.27</v>
      </c>
      <c r="AA40" s="747"/>
      <c r="AB40" s="770">
        <v>400.05482758620684</v>
      </c>
      <c r="AC40" s="771">
        <v>34804.769999999997</v>
      </c>
      <c r="AD40" s="747"/>
      <c r="AE40" s="770">
        <v>678.81777777777779</v>
      </c>
      <c r="AF40" s="771">
        <v>30546.799999999999</v>
      </c>
      <c r="AG40" s="747"/>
      <c r="AH40" s="770">
        <v>530.40699999999993</v>
      </c>
      <c r="AI40" s="771">
        <v>26520.35</v>
      </c>
      <c r="AJ40" s="747"/>
      <c r="AK40" s="770">
        <v>-1003.7751351351351</v>
      </c>
      <c r="AL40" s="771">
        <v>-37139.68</v>
      </c>
      <c r="AM40" s="747"/>
      <c r="AN40" s="770">
        <v>-106.62588235294118</v>
      </c>
      <c r="AO40" s="771">
        <v>-3625.28</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0.53485784859934726</v>
      </c>
      <c r="E44" s="779">
        <v>1257632.7499999998</v>
      </c>
      <c r="F44" s="777" t="s">
        <v>119</v>
      </c>
      <c r="G44" s="778">
        <v>0.63571951072076827</v>
      </c>
      <c r="H44" s="779">
        <v>90391.12</v>
      </c>
      <c r="I44" s="777" t="s">
        <v>119</v>
      </c>
      <c r="J44" s="778">
        <v>0.4325678381070287</v>
      </c>
      <c r="K44" s="779">
        <v>109648.39</v>
      </c>
      <c r="L44" s="777" t="s">
        <v>119</v>
      </c>
      <c r="M44" s="778">
        <v>0.53060317369666055</v>
      </c>
      <c r="N44" s="779">
        <v>149396.28999999998</v>
      </c>
      <c r="O44" s="777" t="s">
        <v>119</v>
      </c>
      <c r="P44" s="778">
        <v>0.4848383739064242</v>
      </c>
      <c r="Q44" s="779">
        <v>125866.33999999998</v>
      </c>
      <c r="R44" s="777" t="s">
        <v>119</v>
      </c>
      <c r="S44" s="778">
        <v>0.57243842198533723</v>
      </c>
      <c r="T44" s="779">
        <v>134880.62</v>
      </c>
      <c r="U44" s="777" t="s">
        <v>119</v>
      </c>
      <c r="V44" s="778">
        <v>0.71414568501399633</v>
      </c>
      <c r="W44" s="779">
        <v>89249.549999999901</v>
      </c>
      <c r="X44" s="777" t="s">
        <v>119</v>
      </c>
      <c r="Y44" s="778">
        <v>0.54556453208854827</v>
      </c>
      <c r="Z44" s="779">
        <v>138666.88999999998</v>
      </c>
      <c r="AA44" s="777" t="s">
        <v>119</v>
      </c>
      <c r="AB44" s="778">
        <v>0.52200100881563627</v>
      </c>
      <c r="AC44" s="779">
        <v>138187.38</v>
      </c>
      <c r="AD44" s="777" t="s">
        <v>119</v>
      </c>
      <c r="AE44" s="778">
        <v>0.63379570455884449</v>
      </c>
      <c r="AF44" s="779">
        <v>98424.93</v>
      </c>
      <c r="AG44" s="777" t="s">
        <v>119</v>
      </c>
      <c r="AH44" s="778">
        <v>0.72441650730975538</v>
      </c>
      <c r="AI44" s="779">
        <v>94080.66</v>
      </c>
      <c r="AJ44" s="777" t="s">
        <v>119</v>
      </c>
      <c r="AK44" s="778">
        <v>0.29627314358904278</v>
      </c>
      <c r="AL44" s="779">
        <v>37787.529999999992</v>
      </c>
      <c r="AM44" s="777" t="s">
        <v>119</v>
      </c>
      <c r="AN44" s="778">
        <v>0.41743430197380188</v>
      </c>
      <c r="AO44" s="779">
        <v>51053.049999999901</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192636.23</v>
      </c>
      <c r="F45" s="747"/>
      <c r="G45" s="757"/>
      <c r="H45" s="771">
        <v>15283.28</v>
      </c>
      <c r="I45" s="747"/>
      <c r="J45" s="757"/>
      <c r="K45" s="771">
        <v>18688.150000000001</v>
      </c>
      <c r="L45" s="747"/>
      <c r="M45" s="757"/>
      <c r="N45" s="771">
        <v>21641.75</v>
      </c>
      <c r="O45" s="747"/>
      <c r="P45" s="757"/>
      <c r="Q45" s="771">
        <v>13149.05</v>
      </c>
      <c r="R45" s="747"/>
      <c r="S45" s="757"/>
      <c r="T45" s="771">
        <v>11905.98</v>
      </c>
      <c r="U45" s="747"/>
      <c r="V45" s="757"/>
      <c r="W45" s="771">
        <v>12515.2</v>
      </c>
      <c r="X45" s="747"/>
      <c r="Y45" s="757"/>
      <c r="Z45" s="771">
        <v>15863.28</v>
      </c>
      <c r="AA45" s="747"/>
      <c r="AB45" s="757"/>
      <c r="AC45" s="771">
        <v>15861.36</v>
      </c>
      <c r="AD45" s="747"/>
      <c r="AE45" s="757"/>
      <c r="AF45" s="771">
        <v>15361.35</v>
      </c>
      <c r="AG45" s="747"/>
      <c r="AH45" s="757"/>
      <c r="AI45" s="771">
        <v>12188.2</v>
      </c>
      <c r="AJ45" s="747"/>
      <c r="AK45" s="757"/>
      <c r="AL45" s="771">
        <v>24253.66</v>
      </c>
      <c r="AM45" s="747"/>
      <c r="AN45" s="757"/>
      <c r="AO45" s="771">
        <v>15924.97</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119210.41</v>
      </c>
      <c r="F46" s="747"/>
      <c r="G46" s="757"/>
      <c r="H46" s="771">
        <v>9379.4</v>
      </c>
      <c r="I46" s="747"/>
      <c r="J46" s="757"/>
      <c r="K46" s="771">
        <v>8496.6200000000008</v>
      </c>
      <c r="L46" s="747"/>
      <c r="M46" s="757"/>
      <c r="N46" s="771">
        <v>11348.47</v>
      </c>
      <c r="O46" s="747"/>
      <c r="P46" s="757"/>
      <c r="Q46" s="771">
        <v>9365.85</v>
      </c>
      <c r="R46" s="747"/>
      <c r="S46" s="757"/>
      <c r="T46" s="771">
        <v>9609.39</v>
      </c>
      <c r="U46" s="747"/>
      <c r="V46" s="757"/>
      <c r="W46" s="771">
        <v>10896.4</v>
      </c>
      <c r="X46" s="747"/>
      <c r="Y46" s="757"/>
      <c r="Z46" s="771">
        <v>8318.4599999999991</v>
      </c>
      <c r="AA46" s="747"/>
      <c r="AB46" s="757"/>
      <c r="AC46" s="771">
        <v>11048.85</v>
      </c>
      <c r="AD46" s="747"/>
      <c r="AE46" s="757"/>
      <c r="AF46" s="771">
        <v>9911.09</v>
      </c>
      <c r="AG46" s="747"/>
      <c r="AH46" s="757"/>
      <c r="AI46" s="771">
        <v>8630.7199999999993</v>
      </c>
      <c r="AJ46" s="747"/>
      <c r="AK46" s="757"/>
      <c r="AL46" s="771">
        <v>13792.56</v>
      </c>
      <c r="AM46" s="747"/>
      <c r="AN46" s="757"/>
      <c r="AO46" s="771">
        <v>8412.6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41466.120000000003</v>
      </c>
      <c r="F47" s="780"/>
      <c r="G47" s="781"/>
      <c r="H47" s="783">
        <v>2993.74</v>
      </c>
      <c r="I47" s="780"/>
      <c r="J47" s="781"/>
      <c r="K47" s="783">
        <v>3562.25</v>
      </c>
      <c r="L47" s="780"/>
      <c r="M47" s="781"/>
      <c r="N47" s="783">
        <v>3645.21</v>
      </c>
      <c r="O47" s="780"/>
      <c r="P47" s="781"/>
      <c r="Q47" s="783">
        <v>4575.3599999999997</v>
      </c>
      <c r="R47" s="780"/>
      <c r="S47" s="781"/>
      <c r="T47" s="783">
        <v>3925.06</v>
      </c>
      <c r="U47" s="780"/>
      <c r="V47" s="781"/>
      <c r="W47" s="783">
        <v>2584.64</v>
      </c>
      <c r="X47" s="780"/>
      <c r="Y47" s="781"/>
      <c r="Z47" s="783">
        <v>2420.59</v>
      </c>
      <c r="AA47" s="780"/>
      <c r="AB47" s="781"/>
      <c r="AC47" s="783">
        <v>4682.53</v>
      </c>
      <c r="AD47" s="780"/>
      <c r="AE47" s="781"/>
      <c r="AF47" s="783">
        <v>3755.5</v>
      </c>
      <c r="AG47" s="780"/>
      <c r="AH47" s="781"/>
      <c r="AI47" s="783">
        <v>2146.12</v>
      </c>
      <c r="AJ47" s="780"/>
      <c r="AK47" s="781"/>
      <c r="AL47" s="783">
        <v>4339.5200000000004</v>
      </c>
      <c r="AM47" s="780"/>
      <c r="AN47" s="781"/>
      <c r="AO47" s="783">
        <v>2835.6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130545.48999999999</v>
      </c>
      <c r="F52" s="747"/>
      <c r="G52" s="757"/>
      <c r="H52" s="771">
        <v>10293.26</v>
      </c>
      <c r="I52" s="747"/>
      <c r="J52" s="757"/>
      <c r="K52" s="771">
        <v>9094.5300000000007</v>
      </c>
      <c r="L52" s="747"/>
      <c r="M52" s="757"/>
      <c r="N52" s="771">
        <v>10397.81</v>
      </c>
      <c r="O52" s="747"/>
      <c r="P52" s="757"/>
      <c r="Q52" s="771">
        <v>11763.15</v>
      </c>
      <c r="R52" s="747"/>
      <c r="S52" s="757"/>
      <c r="T52" s="771">
        <v>14577.13</v>
      </c>
      <c r="U52" s="747"/>
      <c r="V52" s="757"/>
      <c r="W52" s="771">
        <v>10189.969999999999</v>
      </c>
      <c r="X52" s="747"/>
      <c r="Y52" s="757"/>
      <c r="Z52" s="771">
        <v>10664.1</v>
      </c>
      <c r="AA52" s="747"/>
      <c r="AB52" s="757"/>
      <c r="AC52" s="771">
        <v>11439.02</v>
      </c>
      <c r="AD52" s="747"/>
      <c r="AE52" s="757"/>
      <c r="AF52" s="771">
        <v>11002.44</v>
      </c>
      <c r="AG52" s="747"/>
      <c r="AH52" s="757"/>
      <c r="AI52" s="771">
        <v>10528.2</v>
      </c>
      <c r="AJ52" s="747"/>
      <c r="AK52" s="757"/>
      <c r="AL52" s="771">
        <v>11233.56</v>
      </c>
      <c r="AM52" s="747"/>
      <c r="AN52" s="757"/>
      <c r="AO52" s="771">
        <v>9362.32</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175655.28999999998</v>
      </c>
      <c r="F53" s="780"/>
      <c r="G53" s="781"/>
      <c r="H53" s="783">
        <v>16906.259999999998</v>
      </c>
      <c r="I53" s="780"/>
      <c r="J53" s="781"/>
      <c r="K53" s="783">
        <v>14498.97</v>
      </c>
      <c r="L53" s="780"/>
      <c r="M53" s="781"/>
      <c r="N53" s="783">
        <v>18365.25</v>
      </c>
      <c r="O53" s="780"/>
      <c r="P53" s="781"/>
      <c r="Q53" s="783">
        <v>18598.07</v>
      </c>
      <c r="R53" s="780"/>
      <c r="S53" s="781"/>
      <c r="T53" s="783">
        <v>16512.36</v>
      </c>
      <c r="U53" s="780"/>
      <c r="V53" s="781"/>
      <c r="W53" s="783">
        <v>11457.24</v>
      </c>
      <c r="X53" s="780"/>
      <c r="Y53" s="781"/>
      <c r="Z53" s="783">
        <v>12553.25</v>
      </c>
      <c r="AA53" s="780"/>
      <c r="AB53" s="781"/>
      <c r="AC53" s="783">
        <v>14840.25</v>
      </c>
      <c r="AD53" s="780"/>
      <c r="AE53" s="781"/>
      <c r="AF53" s="783">
        <v>14099.3</v>
      </c>
      <c r="AG53" s="780"/>
      <c r="AH53" s="781"/>
      <c r="AI53" s="783">
        <v>14036.34</v>
      </c>
      <c r="AJ53" s="780"/>
      <c r="AK53" s="781"/>
      <c r="AL53" s="783">
        <v>12527.06</v>
      </c>
      <c r="AM53" s="780"/>
      <c r="AN53" s="781"/>
      <c r="AO53" s="783">
        <v>11260.94</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75545.529999999984</v>
      </c>
      <c r="F54" s="747"/>
      <c r="G54" s="757"/>
      <c r="H54" s="771">
        <v>6508.32</v>
      </c>
      <c r="I54" s="747"/>
      <c r="J54" s="757"/>
      <c r="K54" s="771">
        <v>6952.68</v>
      </c>
      <c r="L54" s="747"/>
      <c r="M54" s="757"/>
      <c r="N54" s="771">
        <v>6187.38</v>
      </c>
      <c r="O54" s="747"/>
      <c r="P54" s="757"/>
      <c r="Q54" s="771">
        <v>7275.41</v>
      </c>
      <c r="R54" s="747"/>
      <c r="S54" s="757"/>
      <c r="T54" s="771">
        <v>8805.59</v>
      </c>
      <c r="U54" s="747"/>
      <c r="V54" s="757"/>
      <c r="W54" s="771">
        <v>6085.69</v>
      </c>
      <c r="X54" s="747"/>
      <c r="Y54" s="757"/>
      <c r="Z54" s="771">
        <v>7041.73</v>
      </c>
      <c r="AA54" s="747"/>
      <c r="AB54" s="757"/>
      <c r="AC54" s="771">
        <v>7953.48</v>
      </c>
      <c r="AD54" s="747"/>
      <c r="AE54" s="757"/>
      <c r="AF54" s="771">
        <v>7411.59</v>
      </c>
      <c r="AG54" s="747"/>
      <c r="AH54" s="757"/>
      <c r="AI54" s="771">
        <v>6769.08</v>
      </c>
      <c r="AJ54" s="747"/>
      <c r="AK54" s="757"/>
      <c r="AL54" s="771">
        <v>372.17999999999898</v>
      </c>
      <c r="AM54" s="747"/>
      <c r="AN54" s="757"/>
      <c r="AO54" s="771">
        <v>4182.3999999999996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30693.23</v>
      </c>
      <c r="F55" s="747"/>
      <c r="G55" s="757"/>
      <c r="H55" s="771">
        <v>2586.2199999999998</v>
      </c>
      <c r="I55" s="747"/>
      <c r="J55" s="757"/>
      <c r="K55" s="771">
        <v>2844.68</v>
      </c>
      <c r="L55" s="747"/>
      <c r="M55" s="757"/>
      <c r="N55" s="771">
        <v>3260.08</v>
      </c>
      <c r="O55" s="747"/>
      <c r="P55" s="757"/>
      <c r="Q55" s="771">
        <v>3705.07</v>
      </c>
      <c r="R55" s="747"/>
      <c r="S55" s="757"/>
      <c r="T55" s="771">
        <v>3234.85</v>
      </c>
      <c r="U55" s="747"/>
      <c r="V55" s="757"/>
      <c r="W55" s="771">
        <v>1674.44</v>
      </c>
      <c r="X55" s="747"/>
      <c r="Y55" s="757"/>
      <c r="Z55" s="771">
        <v>1892.71</v>
      </c>
      <c r="AA55" s="747"/>
      <c r="AB55" s="757"/>
      <c r="AC55" s="771">
        <v>3473.47</v>
      </c>
      <c r="AD55" s="747"/>
      <c r="AE55" s="757"/>
      <c r="AF55" s="771">
        <v>2367.79</v>
      </c>
      <c r="AG55" s="747"/>
      <c r="AH55" s="757"/>
      <c r="AI55" s="771">
        <v>1167.3399999999999</v>
      </c>
      <c r="AJ55" s="747"/>
      <c r="AK55" s="757"/>
      <c r="AL55" s="771">
        <v>1645.94</v>
      </c>
      <c r="AM55" s="747"/>
      <c r="AN55" s="757"/>
      <c r="AO55" s="771">
        <v>2840.64</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0.32566631851627753</v>
      </c>
      <c r="E57" s="779">
        <v>765752.3</v>
      </c>
      <c r="F57" s="777" t="s">
        <v>119</v>
      </c>
      <c r="G57" s="778">
        <v>0.44976285121766696</v>
      </c>
      <c r="H57" s="779">
        <v>63950.48</v>
      </c>
      <c r="I57" s="777" t="s">
        <v>119</v>
      </c>
      <c r="J57" s="778">
        <v>0.25302682595127968</v>
      </c>
      <c r="K57" s="779">
        <v>64137.880000000005</v>
      </c>
      <c r="L57" s="777" t="s">
        <v>119</v>
      </c>
      <c r="M57" s="778">
        <v>0.26582653831859931</v>
      </c>
      <c r="N57" s="779">
        <v>74845.95</v>
      </c>
      <c r="O57" s="777" t="s">
        <v>119</v>
      </c>
      <c r="P57" s="778">
        <v>0.26360057986614588</v>
      </c>
      <c r="Q57" s="779">
        <v>68431.960000000006</v>
      </c>
      <c r="R57" s="777" t="s">
        <v>119</v>
      </c>
      <c r="S57" s="778">
        <v>0.26360057986614588</v>
      </c>
      <c r="T57" s="779">
        <v>68570.36</v>
      </c>
      <c r="U57" s="777" t="s">
        <v>119</v>
      </c>
      <c r="V57" s="778">
        <v>1.26360057986615</v>
      </c>
      <c r="W57" s="779">
        <v>55403.58</v>
      </c>
      <c r="X57" s="777" t="s">
        <v>119</v>
      </c>
      <c r="Y57" s="778">
        <v>1.26360057986615</v>
      </c>
      <c r="Z57" s="779">
        <v>58754.12</v>
      </c>
      <c r="AA57" s="777" t="s">
        <v>119</v>
      </c>
      <c r="AB57" s="778">
        <v>1.26360057986615</v>
      </c>
      <c r="AC57" s="779">
        <v>69298.959999999992</v>
      </c>
      <c r="AD57" s="777" t="s">
        <v>119</v>
      </c>
      <c r="AE57" s="778">
        <v>1.26360057986615</v>
      </c>
      <c r="AF57" s="779">
        <v>63909.060000000005</v>
      </c>
      <c r="AG57" s="777" t="s">
        <v>119</v>
      </c>
      <c r="AH57" s="778">
        <v>1.26360057986615</v>
      </c>
      <c r="AI57" s="779">
        <v>55466</v>
      </c>
      <c r="AJ57" s="777" t="s">
        <v>119</v>
      </c>
      <c r="AK57" s="778">
        <v>1.26360057986615</v>
      </c>
      <c r="AL57" s="779">
        <v>68164.479999999996</v>
      </c>
      <c r="AM57" s="777" t="s">
        <v>119</v>
      </c>
      <c r="AN57" s="778">
        <v>1.26360057986615</v>
      </c>
      <c r="AO57" s="779">
        <v>54819.47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105840.31000000001</v>
      </c>
      <c r="F60" s="785"/>
      <c r="G60" s="786"/>
      <c r="H60" s="788">
        <v>6677.55</v>
      </c>
      <c r="I60" s="785"/>
      <c r="J60" s="786"/>
      <c r="K60" s="788">
        <v>7358.99</v>
      </c>
      <c r="L60" s="785"/>
      <c r="M60" s="786"/>
      <c r="N60" s="788">
        <v>7788.24</v>
      </c>
      <c r="O60" s="785"/>
      <c r="P60" s="786"/>
      <c r="Q60" s="788">
        <v>11626.31</v>
      </c>
      <c r="R60" s="785"/>
      <c r="S60" s="786"/>
      <c r="T60" s="788">
        <v>7403.65</v>
      </c>
      <c r="U60" s="785"/>
      <c r="V60" s="786"/>
      <c r="W60" s="788">
        <v>7254.82</v>
      </c>
      <c r="X60" s="785"/>
      <c r="Y60" s="786"/>
      <c r="Z60" s="788">
        <v>9199.43</v>
      </c>
      <c r="AA60" s="785"/>
      <c r="AB60" s="786"/>
      <c r="AC60" s="788">
        <v>9189.64</v>
      </c>
      <c r="AD60" s="785"/>
      <c r="AE60" s="786"/>
      <c r="AF60" s="788">
        <v>10497.54</v>
      </c>
      <c r="AG60" s="785"/>
      <c r="AH60" s="786"/>
      <c r="AI60" s="788">
        <v>8473.11</v>
      </c>
      <c r="AJ60" s="785"/>
      <c r="AK60" s="786"/>
      <c r="AL60" s="788">
        <v>8283.33</v>
      </c>
      <c r="AM60" s="785"/>
      <c r="AN60" s="786"/>
      <c r="AO60" s="788">
        <v>12087.7</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88237.239999999991</v>
      </c>
      <c r="F61" s="747"/>
      <c r="G61" s="757"/>
      <c r="H61" s="771">
        <v>6687.32</v>
      </c>
      <c r="I61" s="747"/>
      <c r="J61" s="757"/>
      <c r="K61" s="771">
        <v>7119.2</v>
      </c>
      <c r="L61" s="747"/>
      <c r="M61" s="757"/>
      <c r="N61" s="771">
        <v>7015.61</v>
      </c>
      <c r="O61" s="747"/>
      <c r="P61" s="757"/>
      <c r="Q61" s="771">
        <v>7516.3</v>
      </c>
      <c r="R61" s="747"/>
      <c r="S61" s="757"/>
      <c r="T61" s="771">
        <v>7461.29</v>
      </c>
      <c r="U61" s="747"/>
      <c r="V61" s="757"/>
      <c r="W61" s="771">
        <v>7043.39</v>
      </c>
      <c r="X61" s="747"/>
      <c r="Y61" s="757"/>
      <c r="Z61" s="771">
        <v>5972.42</v>
      </c>
      <c r="AA61" s="747"/>
      <c r="AB61" s="757"/>
      <c r="AC61" s="771">
        <v>8684.4500000000007</v>
      </c>
      <c r="AD61" s="747"/>
      <c r="AE61" s="757"/>
      <c r="AF61" s="771">
        <v>8853.42</v>
      </c>
      <c r="AG61" s="747"/>
      <c r="AH61" s="757"/>
      <c r="AI61" s="771">
        <v>7015.5</v>
      </c>
      <c r="AJ61" s="747"/>
      <c r="AK61" s="757"/>
      <c r="AL61" s="771">
        <v>6688.36</v>
      </c>
      <c r="AM61" s="747"/>
      <c r="AN61" s="757"/>
      <c r="AO61" s="771">
        <v>8179.98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18128.02</v>
      </c>
      <c r="F62" s="747"/>
      <c r="G62" s="757"/>
      <c r="H62" s="771">
        <v>1076.8499999999999</v>
      </c>
      <c r="I62" s="747"/>
      <c r="J62" s="757"/>
      <c r="K62" s="771">
        <v>230.83</v>
      </c>
      <c r="L62" s="747"/>
      <c r="M62" s="757"/>
      <c r="N62" s="771">
        <v>1100.5999999999999</v>
      </c>
      <c r="O62" s="747"/>
      <c r="P62" s="757"/>
      <c r="Q62" s="771">
        <v>2705.19</v>
      </c>
      <c r="R62" s="747"/>
      <c r="S62" s="757"/>
      <c r="T62" s="771">
        <v>1278.4000000000001</v>
      </c>
      <c r="U62" s="747"/>
      <c r="V62" s="757"/>
      <c r="W62" s="771">
        <v>1316.83</v>
      </c>
      <c r="X62" s="747"/>
      <c r="Y62" s="757"/>
      <c r="Z62" s="771">
        <v>1613.78</v>
      </c>
      <c r="AA62" s="747"/>
      <c r="AB62" s="757"/>
      <c r="AC62" s="771">
        <v>1158.94</v>
      </c>
      <c r="AD62" s="747"/>
      <c r="AE62" s="757"/>
      <c r="AF62" s="771">
        <v>1810.19</v>
      </c>
      <c r="AG62" s="747"/>
      <c r="AH62" s="757"/>
      <c r="AI62" s="771">
        <v>2344.34</v>
      </c>
      <c r="AJ62" s="747"/>
      <c r="AK62" s="757"/>
      <c r="AL62" s="771">
        <v>2373.63</v>
      </c>
      <c r="AM62" s="747"/>
      <c r="AN62" s="757"/>
      <c r="AO62" s="771">
        <v>1118.44</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88609.06</v>
      </c>
      <c r="F63" s="785"/>
      <c r="G63" s="786"/>
      <c r="H63" s="788">
        <v>7732.26</v>
      </c>
      <c r="I63" s="785"/>
      <c r="J63" s="786"/>
      <c r="K63" s="788">
        <v>6706.21</v>
      </c>
      <c r="L63" s="785"/>
      <c r="M63" s="786"/>
      <c r="N63" s="788">
        <v>6497.3</v>
      </c>
      <c r="O63" s="785"/>
      <c r="P63" s="786"/>
      <c r="Q63" s="788">
        <v>6746.26</v>
      </c>
      <c r="R63" s="785"/>
      <c r="S63" s="786"/>
      <c r="T63" s="788">
        <v>7123.34</v>
      </c>
      <c r="U63" s="785"/>
      <c r="V63" s="786"/>
      <c r="W63" s="788">
        <v>7463.74</v>
      </c>
      <c r="X63" s="785"/>
      <c r="Y63" s="786"/>
      <c r="Z63" s="788">
        <v>7694.41</v>
      </c>
      <c r="AA63" s="785"/>
      <c r="AB63" s="786"/>
      <c r="AC63" s="788">
        <v>7667.77</v>
      </c>
      <c r="AD63" s="785"/>
      <c r="AE63" s="786"/>
      <c r="AF63" s="788">
        <v>8147.65</v>
      </c>
      <c r="AG63" s="785"/>
      <c r="AH63" s="786"/>
      <c r="AI63" s="788">
        <v>8179.53</v>
      </c>
      <c r="AJ63" s="785"/>
      <c r="AK63" s="786"/>
      <c r="AL63" s="788">
        <v>7674.68</v>
      </c>
      <c r="AM63" s="785"/>
      <c r="AN63" s="786"/>
      <c r="AO63" s="788">
        <v>6975.91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873.33000000000015</v>
      </c>
      <c r="F64" s="747"/>
      <c r="G64" s="757"/>
      <c r="H64" s="771">
        <v>104.38</v>
      </c>
      <c r="I64" s="747"/>
      <c r="J64" s="757"/>
      <c r="K64" s="771">
        <v>0</v>
      </c>
      <c r="L64" s="747"/>
      <c r="M64" s="757"/>
      <c r="N64" s="771">
        <v>220.74</v>
      </c>
      <c r="O64" s="747"/>
      <c r="P64" s="757"/>
      <c r="Q64" s="771">
        <v>36.28</v>
      </c>
      <c r="R64" s="747"/>
      <c r="S64" s="757"/>
      <c r="T64" s="771">
        <v>17.22</v>
      </c>
      <c r="U64" s="747"/>
      <c r="V64" s="757"/>
      <c r="W64" s="771">
        <v>4.5599999999999996</v>
      </c>
      <c r="X64" s="747"/>
      <c r="Y64" s="757"/>
      <c r="Z64" s="771">
        <v>97.12</v>
      </c>
      <c r="AA64" s="747"/>
      <c r="AB64" s="757"/>
      <c r="AC64" s="771">
        <v>141.9</v>
      </c>
      <c r="AD64" s="747"/>
      <c r="AE64" s="757"/>
      <c r="AF64" s="771">
        <v>74.69</v>
      </c>
      <c r="AG64" s="747"/>
      <c r="AH64" s="757"/>
      <c r="AI64" s="771">
        <v>0</v>
      </c>
      <c r="AJ64" s="747"/>
      <c r="AK64" s="757"/>
      <c r="AL64" s="771">
        <v>0</v>
      </c>
      <c r="AM64" s="747"/>
      <c r="AN64" s="757"/>
      <c r="AO64" s="771">
        <v>176.44</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434.88</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434.88</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9025.32</v>
      </c>
      <c r="F66" s="747"/>
      <c r="G66" s="757"/>
      <c r="H66" s="771">
        <v>425.21</v>
      </c>
      <c r="I66" s="747"/>
      <c r="J66" s="757"/>
      <c r="K66" s="771">
        <v>1331.47</v>
      </c>
      <c r="L66" s="747"/>
      <c r="M66" s="757"/>
      <c r="N66" s="771">
        <v>552.11</v>
      </c>
      <c r="O66" s="747"/>
      <c r="P66" s="757"/>
      <c r="Q66" s="771">
        <v>381.04</v>
      </c>
      <c r="R66" s="747"/>
      <c r="S66" s="757"/>
      <c r="T66" s="771">
        <v>885.48</v>
      </c>
      <c r="U66" s="747"/>
      <c r="V66" s="757"/>
      <c r="W66" s="771">
        <v>387.99</v>
      </c>
      <c r="X66" s="747"/>
      <c r="Y66" s="757"/>
      <c r="Z66" s="771">
        <v>356.55</v>
      </c>
      <c r="AA66" s="747"/>
      <c r="AB66" s="757"/>
      <c r="AC66" s="771">
        <v>1375.08</v>
      </c>
      <c r="AD66" s="747"/>
      <c r="AE66" s="757"/>
      <c r="AF66" s="771">
        <v>628.30999999999995</v>
      </c>
      <c r="AG66" s="747"/>
      <c r="AH66" s="757"/>
      <c r="AI66" s="771">
        <v>377.56</v>
      </c>
      <c r="AJ66" s="747"/>
      <c r="AK66" s="757"/>
      <c r="AL66" s="771">
        <v>1262.3399999999999</v>
      </c>
      <c r="AM66" s="747"/>
      <c r="AN66" s="757"/>
      <c r="AO66" s="771">
        <v>1062.18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4238.2000000000007</v>
      </c>
      <c r="F67" s="747"/>
      <c r="G67" s="757"/>
      <c r="H67" s="771">
        <v>381.78</v>
      </c>
      <c r="I67" s="747"/>
      <c r="J67" s="757"/>
      <c r="K67" s="771">
        <v>318.49</v>
      </c>
      <c r="L67" s="747"/>
      <c r="M67" s="757"/>
      <c r="N67" s="771">
        <v>360.77</v>
      </c>
      <c r="O67" s="747"/>
      <c r="P67" s="757"/>
      <c r="Q67" s="771">
        <v>318.89999999999998</v>
      </c>
      <c r="R67" s="747"/>
      <c r="S67" s="757"/>
      <c r="T67" s="771">
        <v>340.16</v>
      </c>
      <c r="U67" s="747"/>
      <c r="V67" s="757"/>
      <c r="W67" s="771">
        <v>326.92</v>
      </c>
      <c r="X67" s="747"/>
      <c r="Y67" s="757"/>
      <c r="Z67" s="771">
        <v>330.97</v>
      </c>
      <c r="AA67" s="747"/>
      <c r="AB67" s="757"/>
      <c r="AC67" s="771">
        <v>440.89</v>
      </c>
      <c r="AD67" s="747"/>
      <c r="AE67" s="757"/>
      <c r="AF67" s="771">
        <v>345.76</v>
      </c>
      <c r="AG67" s="747"/>
      <c r="AH67" s="757"/>
      <c r="AI67" s="771">
        <v>393.48</v>
      </c>
      <c r="AJ67" s="747"/>
      <c r="AK67" s="757"/>
      <c r="AL67" s="771">
        <v>351.63</v>
      </c>
      <c r="AM67" s="747"/>
      <c r="AN67" s="757"/>
      <c r="AO67" s="771">
        <v>328.45</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896.29000000000008</v>
      </c>
      <c r="F68" s="747"/>
      <c r="G68" s="757"/>
      <c r="H68" s="771">
        <v>159.30000000000001</v>
      </c>
      <c r="I68" s="747"/>
      <c r="J68" s="757"/>
      <c r="K68" s="771">
        <v>222.02</v>
      </c>
      <c r="L68" s="747"/>
      <c r="M68" s="757"/>
      <c r="N68" s="771">
        <v>278.24</v>
      </c>
      <c r="O68" s="747"/>
      <c r="P68" s="757"/>
      <c r="Q68" s="771">
        <v>10.56</v>
      </c>
      <c r="R68" s="747"/>
      <c r="S68" s="757"/>
      <c r="T68" s="771">
        <v>10.56</v>
      </c>
      <c r="U68" s="747"/>
      <c r="V68" s="757"/>
      <c r="W68" s="771">
        <v>32.96</v>
      </c>
      <c r="X68" s="747"/>
      <c r="Y68" s="757"/>
      <c r="Z68" s="771">
        <v>32.96</v>
      </c>
      <c r="AA68" s="747"/>
      <c r="AB68" s="757"/>
      <c r="AC68" s="771">
        <v>10.56</v>
      </c>
      <c r="AD68" s="747"/>
      <c r="AE68" s="757"/>
      <c r="AF68" s="771">
        <v>32.96</v>
      </c>
      <c r="AG68" s="747"/>
      <c r="AH68" s="757"/>
      <c r="AI68" s="771">
        <v>32.96</v>
      </c>
      <c r="AJ68" s="747"/>
      <c r="AK68" s="757"/>
      <c r="AL68" s="771">
        <v>40.25</v>
      </c>
      <c r="AM68" s="747"/>
      <c r="AN68" s="757"/>
      <c r="AO68" s="771">
        <v>32.96</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2165.7800000000002</v>
      </c>
      <c r="F69" s="747"/>
      <c r="G69" s="757"/>
      <c r="H69" s="771">
        <v>103.25</v>
      </c>
      <c r="I69" s="747"/>
      <c r="J69" s="757"/>
      <c r="K69" s="771">
        <v>205.65</v>
      </c>
      <c r="L69" s="747"/>
      <c r="M69" s="757"/>
      <c r="N69" s="771">
        <v>255.97</v>
      </c>
      <c r="O69" s="747"/>
      <c r="P69" s="757"/>
      <c r="Q69" s="771">
        <v>201.95</v>
      </c>
      <c r="R69" s="747"/>
      <c r="S69" s="757"/>
      <c r="T69" s="771">
        <v>105.31</v>
      </c>
      <c r="U69" s="747"/>
      <c r="V69" s="757"/>
      <c r="W69" s="771">
        <v>123.77</v>
      </c>
      <c r="X69" s="747"/>
      <c r="Y69" s="757"/>
      <c r="Z69" s="771">
        <v>188.48</v>
      </c>
      <c r="AA69" s="747"/>
      <c r="AB69" s="757"/>
      <c r="AC69" s="771">
        <v>52.48</v>
      </c>
      <c r="AD69" s="747"/>
      <c r="AE69" s="757"/>
      <c r="AF69" s="771">
        <v>152.01</v>
      </c>
      <c r="AG69" s="747"/>
      <c r="AH69" s="757"/>
      <c r="AI69" s="771">
        <v>234.47</v>
      </c>
      <c r="AJ69" s="747"/>
      <c r="AK69" s="757"/>
      <c r="AL69" s="771">
        <v>446.81</v>
      </c>
      <c r="AM69" s="747"/>
      <c r="AN69" s="757"/>
      <c r="AO69" s="771">
        <v>95.63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22094.760000000002</v>
      </c>
      <c r="F70" s="747"/>
      <c r="G70" s="757"/>
      <c r="H70" s="771">
        <v>1844</v>
      </c>
      <c r="I70" s="747"/>
      <c r="J70" s="757"/>
      <c r="K70" s="771">
        <v>1135.45</v>
      </c>
      <c r="L70" s="747"/>
      <c r="M70" s="757"/>
      <c r="N70" s="771">
        <v>1407.34</v>
      </c>
      <c r="O70" s="747"/>
      <c r="P70" s="757"/>
      <c r="Q70" s="771">
        <v>1147.3499999999999</v>
      </c>
      <c r="R70" s="747"/>
      <c r="S70" s="757"/>
      <c r="T70" s="771">
        <v>1174.1300000000001</v>
      </c>
      <c r="U70" s="747"/>
      <c r="V70" s="757"/>
      <c r="W70" s="771">
        <v>1391.4</v>
      </c>
      <c r="X70" s="747"/>
      <c r="Y70" s="757"/>
      <c r="Z70" s="771">
        <v>3488.07</v>
      </c>
      <c r="AA70" s="747"/>
      <c r="AB70" s="757"/>
      <c r="AC70" s="771">
        <v>3577.08</v>
      </c>
      <c r="AD70" s="747"/>
      <c r="AE70" s="757"/>
      <c r="AF70" s="771">
        <v>2675.45</v>
      </c>
      <c r="AG70" s="747"/>
      <c r="AH70" s="757"/>
      <c r="AI70" s="771">
        <v>2366.96</v>
      </c>
      <c r="AJ70" s="747"/>
      <c r="AK70" s="757"/>
      <c r="AL70" s="771">
        <v>1785.45</v>
      </c>
      <c r="AM70" s="747"/>
      <c r="AN70" s="757"/>
      <c r="AO70" s="771">
        <v>102.08</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47376.41</v>
      </c>
      <c r="F71" s="747"/>
      <c r="G71" s="757"/>
      <c r="H71" s="771">
        <v>3087.92</v>
      </c>
      <c r="I71" s="747"/>
      <c r="J71" s="757"/>
      <c r="K71" s="771">
        <v>2438.09</v>
      </c>
      <c r="L71" s="747"/>
      <c r="M71" s="757"/>
      <c r="N71" s="771">
        <v>3214.1</v>
      </c>
      <c r="O71" s="747"/>
      <c r="P71" s="757"/>
      <c r="Q71" s="771">
        <v>4277.07</v>
      </c>
      <c r="R71" s="747"/>
      <c r="S71" s="757"/>
      <c r="T71" s="771">
        <v>4750.5</v>
      </c>
      <c r="U71" s="747"/>
      <c r="V71" s="757"/>
      <c r="W71" s="771">
        <v>3357.81</v>
      </c>
      <c r="X71" s="747"/>
      <c r="Y71" s="757"/>
      <c r="Z71" s="771">
        <v>3718.78</v>
      </c>
      <c r="AA71" s="747"/>
      <c r="AB71" s="757"/>
      <c r="AC71" s="771">
        <v>3576.25</v>
      </c>
      <c r="AD71" s="747"/>
      <c r="AE71" s="757"/>
      <c r="AF71" s="771">
        <v>3267.11</v>
      </c>
      <c r="AG71" s="747"/>
      <c r="AH71" s="757"/>
      <c r="AI71" s="771">
        <v>4782.88</v>
      </c>
      <c r="AJ71" s="747"/>
      <c r="AK71" s="757"/>
      <c r="AL71" s="771">
        <v>6767.49</v>
      </c>
      <c r="AM71" s="747"/>
      <c r="AN71" s="757"/>
      <c r="AO71" s="771">
        <v>4138.41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0.16497808496599617</v>
      </c>
      <c r="E75" s="779">
        <v>387919.60000000009</v>
      </c>
      <c r="F75" s="777" t="s">
        <v>119</v>
      </c>
      <c r="G75" s="778">
        <v>0.19889158728945275</v>
      </c>
      <c r="H75" s="779">
        <v>28279.82</v>
      </c>
      <c r="I75" s="777" t="s">
        <v>119</v>
      </c>
      <c r="J75" s="778">
        <v>0.10677816731590938</v>
      </c>
      <c r="K75" s="779">
        <v>27066.400000000005</v>
      </c>
      <c r="L75" s="777" t="s">
        <v>119</v>
      </c>
      <c r="M75" s="778">
        <v>0.10190043051667726</v>
      </c>
      <c r="N75" s="779">
        <v>28691.020000000004</v>
      </c>
      <c r="O75" s="777" t="s">
        <v>119</v>
      </c>
      <c r="P75" s="778">
        <v>0.13469403524758453</v>
      </c>
      <c r="Q75" s="779">
        <v>34967.21</v>
      </c>
      <c r="R75" s="777" t="s">
        <v>119</v>
      </c>
      <c r="S75" s="778">
        <v>0.12965551825895325</v>
      </c>
      <c r="T75" s="779">
        <v>30550.040000000005</v>
      </c>
      <c r="U75" s="777" t="s">
        <v>119</v>
      </c>
      <c r="V75" s="778">
        <v>0.22968153262758106</v>
      </c>
      <c r="W75" s="779">
        <v>28704.190000000002</v>
      </c>
      <c r="X75" s="777" t="s">
        <v>119</v>
      </c>
      <c r="Y75" s="778">
        <v>0.12862569341992847</v>
      </c>
      <c r="Z75" s="779">
        <v>32692.969999999998</v>
      </c>
      <c r="AA75" s="777" t="s">
        <v>119</v>
      </c>
      <c r="AB75" s="778">
        <v>0.13551749133170701</v>
      </c>
      <c r="AC75" s="779">
        <v>35875.040000000001</v>
      </c>
      <c r="AD75" s="777" t="s">
        <v>119</v>
      </c>
      <c r="AE75" s="778">
        <v>0.23494142512921112</v>
      </c>
      <c r="AF75" s="779">
        <v>36485.089999999989</v>
      </c>
      <c r="AG75" s="777" t="s">
        <v>119</v>
      </c>
      <c r="AH75" s="778">
        <v>0.26669297483386356</v>
      </c>
      <c r="AI75" s="779">
        <v>34635.67</v>
      </c>
      <c r="AJ75" s="777" t="s">
        <v>119</v>
      </c>
      <c r="AK75" s="778">
        <v>0.27970177559108012</v>
      </c>
      <c r="AL75" s="779">
        <v>35673.97</v>
      </c>
      <c r="AM75" s="777" t="s">
        <v>119</v>
      </c>
      <c r="AN75" s="778">
        <v>0.28043842292031212</v>
      </c>
      <c r="AO75" s="779">
        <v>34298.18</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1.025502252081621</v>
      </c>
      <c r="E77" s="789">
        <v>2411304.65</v>
      </c>
      <c r="F77" s="777" t="s">
        <v>119</v>
      </c>
      <c r="G77" s="778">
        <v>1.2843739492278881</v>
      </c>
      <c r="H77" s="789">
        <v>182621.42</v>
      </c>
      <c r="I77" s="777" t="s">
        <v>119</v>
      </c>
      <c r="J77" s="778">
        <v>0.79237283137421777</v>
      </c>
      <c r="K77" s="789">
        <v>200852.67</v>
      </c>
      <c r="L77" s="777" t="s">
        <v>119</v>
      </c>
      <c r="M77" s="778">
        <v>0.89833014253193721</v>
      </c>
      <c r="N77" s="789">
        <v>252933.26</v>
      </c>
      <c r="O77" s="777" t="s">
        <v>119</v>
      </c>
      <c r="P77" s="778">
        <v>0.88313298902015458</v>
      </c>
      <c r="Q77" s="789">
        <v>229265.50999999998</v>
      </c>
      <c r="R77" s="777" t="s">
        <v>119</v>
      </c>
      <c r="S77" s="778">
        <v>0.99310912592008649</v>
      </c>
      <c r="T77" s="789">
        <v>234001.02</v>
      </c>
      <c r="U77" s="777" t="s">
        <v>119</v>
      </c>
      <c r="V77" s="778">
        <v>1.3871485295286152</v>
      </c>
      <c r="W77" s="789">
        <v>173357.31999999989</v>
      </c>
      <c r="X77" s="777" t="s">
        <v>119</v>
      </c>
      <c r="Y77" s="778">
        <v>0.90534968964641482</v>
      </c>
      <c r="Z77" s="789">
        <v>230113.97999999998</v>
      </c>
      <c r="AA77" s="777" t="s">
        <v>119</v>
      </c>
      <c r="AB77" s="778">
        <v>0.91929440927793415</v>
      </c>
      <c r="AC77" s="789">
        <v>243361.38</v>
      </c>
      <c r="AD77" s="777" t="s">
        <v>119</v>
      </c>
      <c r="AE77" s="778">
        <v>1.2802719685789086</v>
      </c>
      <c r="AF77" s="789">
        <v>198819.08</v>
      </c>
      <c r="AG77" s="777" t="s">
        <v>119</v>
      </c>
      <c r="AH77" s="778">
        <v>1.4181949850986673</v>
      </c>
      <c r="AI77" s="789">
        <v>184182.33000000002</v>
      </c>
      <c r="AJ77" s="777" t="s">
        <v>119</v>
      </c>
      <c r="AK77" s="778">
        <v>1.1104185510002613</v>
      </c>
      <c r="AL77" s="789">
        <v>141625.97999999998</v>
      </c>
      <c r="AM77" s="777" t="s">
        <v>119</v>
      </c>
      <c r="AN77" s="778">
        <v>1.1461030890745854</v>
      </c>
      <c r="AO77" s="789">
        <v>140170.6999999999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87295</v>
      </c>
      <c r="F78" s="747"/>
      <c r="G78" s="757"/>
      <c r="H78" s="771">
        <v>0</v>
      </c>
      <c r="I78" s="747"/>
      <c r="J78" s="757"/>
      <c r="K78" s="771">
        <v>0</v>
      </c>
      <c r="L78" s="747"/>
      <c r="M78" s="757"/>
      <c r="N78" s="771">
        <v>0</v>
      </c>
      <c r="O78" s="747"/>
      <c r="P78" s="757"/>
      <c r="Q78" s="771">
        <v>695</v>
      </c>
      <c r="R78" s="747"/>
      <c r="S78" s="757"/>
      <c r="T78" s="771">
        <v>0</v>
      </c>
      <c r="U78" s="747"/>
      <c r="V78" s="757"/>
      <c r="W78" s="771">
        <v>20000</v>
      </c>
      <c r="X78" s="747"/>
      <c r="Y78" s="757"/>
      <c r="Z78" s="771">
        <v>18100</v>
      </c>
      <c r="AA78" s="747"/>
      <c r="AB78" s="757"/>
      <c r="AC78" s="771">
        <v>0</v>
      </c>
      <c r="AD78" s="747"/>
      <c r="AE78" s="757"/>
      <c r="AF78" s="771">
        <v>16000</v>
      </c>
      <c r="AG78" s="747"/>
      <c r="AH78" s="757"/>
      <c r="AI78" s="771">
        <v>0</v>
      </c>
      <c r="AJ78" s="747"/>
      <c r="AK78" s="757"/>
      <c r="AL78" s="771">
        <v>12500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953913.25</v>
      </c>
      <c r="F81" s="747"/>
      <c r="G81" s="757"/>
      <c r="H81" s="771">
        <v>51590</v>
      </c>
      <c r="I81" s="747"/>
      <c r="J81" s="757"/>
      <c r="K81" s="771">
        <v>91804.85</v>
      </c>
      <c r="L81" s="747"/>
      <c r="M81" s="757"/>
      <c r="N81" s="771">
        <v>83565</v>
      </c>
      <c r="O81" s="747"/>
      <c r="P81" s="757"/>
      <c r="Q81" s="771">
        <v>106078.85</v>
      </c>
      <c r="R81" s="747"/>
      <c r="S81" s="757"/>
      <c r="T81" s="771">
        <v>99044.7</v>
      </c>
      <c r="U81" s="747"/>
      <c r="V81" s="757"/>
      <c r="W81" s="771">
        <v>55522</v>
      </c>
      <c r="X81" s="747"/>
      <c r="Y81" s="757"/>
      <c r="Z81" s="771">
        <v>127510</v>
      </c>
      <c r="AA81" s="747"/>
      <c r="AB81" s="757"/>
      <c r="AC81" s="771">
        <v>110039</v>
      </c>
      <c r="AD81" s="747"/>
      <c r="AE81" s="757"/>
      <c r="AF81" s="771">
        <v>52835</v>
      </c>
      <c r="AG81" s="747"/>
      <c r="AH81" s="757"/>
      <c r="AI81" s="771">
        <v>66750.850000000006</v>
      </c>
      <c r="AJ81" s="747"/>
      <c r="AK81" s="757"/>
      <c r="AL81" s="771">
        <v>55120</v>
      </c>
      <c r="AM81" s="747"/>
      <c r="AN81" s="757"/>
      <c r="AO81" s="771">
        <v>54053</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330462.5</v>
      </c>
      <c r="F85" s="747"/>
      <c r="G85" s="757"/>
      <c r="H85" s="771">
        <v>24336</v>
      </c>
      <c r="I85" s="747"/>
      <c r="J85" s="757"/>
      <c r="K85" s="771">
        <v>30949</v>
      </c>
      <c r="L85" s="747"/>
      <c r="M85" s="757"/>
      <c r="N85" s="771">
        <v>34491</v>
      </c>
      <c r="O85" s="747"/>
      <c r="P85" s="757"/>
      <c r="Q85" s="771">
        <v>36038</v>
      </c>
      <c r="R85" s="747"/>
      <c r="S85" s="757"/>
      <c r="T85" s="771">
        <v>32586</v>
      </c>
      <c r="U85" s="747"/>
      <c r="V85" s="757"/>
      <c r="W85" s="771">
        <v>19532.5</v>
      </c>
      <c r="X85" s="747"/>
      <c r="Y85" s="757"/>
      <c r="Z85" s="771">
        <v>35590</v>
      </c>
      <c r="AA85" s="747"/>
      <c r="AB85" s="757"/>
      <c r="AC85" s="771">
        <v>39816</v>
      </c>
      <c r="AD85" s="747"/>
      <c r="AE85" s="757"/>
      <c r="AF85" s="771">
        <v>19467</v>
      </c>
      <c r="AG85" s="747"/>
      <c r="AH85" s="757"/>
      <c r="AI85" s="771">
        <v>24378</v>
      </c>
      <c r="AJ85" s="747"/>
      <c r="AK85" s="757"/>
      <c r="AL85" s="771">
        <v>16782</v>
      </c>
      <c r="AM85" s="747"/>
      <c r="AN85" s="757"/>
      <c r="AO85" s="771">
        <v>16497</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1371670.75</v>
      </c>
      <c r="F86" s="790"/>
      <c r="G86" s="791"/>
      <c r="H86" s="792">
        <v>75926</v>
      </c>
      <c r="I86" s="790"/>
      <c r="J86" s="791"/>
      <c r="K86" s="792">
        <v>122753.85</v>
      </c>
      <c r="L86" s="790"/>
      <c r="M86" s="791"/>
      <c r="N86" s="792">
        <v>118056</v>
      </c>
      <c r="O86" s="790"/>
      <c r="P86" s="791"/>
      <c r="Q86" s="792">
        <v>142811.85</v>
      </c>
      <c r="R86" s="790"/>
      <c r="S86" s="791"/>
      <c r="T86" s="792">
        <v>131630.70000000001</v>
      </c>
      <c r="U86" s="790"/>
      <c r="V86" s="791"/>
      <c r="W86" s="792">
        <v>95054.5</v>
      </c>
      <c r="X86" s="790"/>
      <c r="Y86" s="791"/>
      <c r="Z86" s="792">
        <v>181200</v>
      </c>
      <c r="AA86" s="790"/>
      <c r="AB86" s="791"/>
      <c r="AC86" s="792">
        <v>149855</v>
      </c>
      <c r="AD86" s="790"/>
      <c r="AE86" s="791"/>
      <c r="AF86" s="792">
        <v>88302</v>
      </c>
      <c r="AG86" s="790"/>
      <c r="AH86" s="791"/>
      <c r="AI86" s="792">
        <v>91128.85</v>
      </c>
      <c r="AJ86" s="790"/>
      <c r="AK86" s="791"/>
      <c r="AL86" s="792">
        <v>84402</v>
      </c>
      <c r="AM86" s="790"/>
      <c r="AN86" s="791"/>
      <c r="AO86" s="792">
        <v>90550</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1311706.2799999961</v>
      </c>
      <c r="F88" s="796"/>
      <c r="G88" s="797"/>
      <c r="H88" s="798">
        <v>35491.689999999886</v>
      </c>
      <c r="I88" s="796"/>
      <c r="J88" s="797"/>
      <c r="K88" s="798">
        <v>175383.70999999988</v>
      </c>
      <c r="L88" s="796"/>
      <c r="M88" s="797"/>
      <c r="N88" s="798">
        <v>146682.09999999887</v>
      </c>
      <c r="O88" s="796"/>
      <c r="P88" s="797"/>
      <c r="Q88" s="798">
        <v>173151.0799999999</v>
      </c>
      <c r="R88" s="796"/>
      <c r="S88" s="797"/>
      <c r="T88" s="798">
        <v>133254.35999999993</v>
      </c>
      <c r="U88" s="796"/>
      <c r="V88" s="797"/>
      <c r="W88" s="798">
        <v>46671.049999999799</v>
      </c>
      <c r="X88" s="796"/>
      <c r="Y88" s="797"/>
      <c r="Z88" s="798">
        <v>205257.39999999892</v>
      </c>
      <c r="AA88" s="796"/>
      <c r="AB88" s="797"/>
      <c r="AC88" s="798">
        <v>171219.88999999902</v>
      </c>
      <c r="AD88" s="796"/>
      <c r="AE88" s="797"/>
      <c r="AF88" s="798">
        <v>44777.3299999999</v>
      </c>
      <c r="AG88" s="796"/>
      <c r="AH88" s="797"/>
      <c r="AI88" s="798">
        <v>36817.470000000161</v>
      </c>
      <c r="AJ88" s="796"/>
      <c r="AK88" s="797"/>
      <c r="AL88" s="798">
        <v>70318.89999999982</v>
      </c>
      <c r="AM88" s="796"/>
      <c r="AN88" s="797"/>
      <c r="AO88" s="798">
        <v>72681.300000000061</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3935</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15217940.239999957</v>
      </c>
      <c r="F96" s="735"/>
      <c r="G96" s="736"/>
      <c r="H96" s="805">
        <v>1261256.23</v>
      </c>
      <c r="I96" s="735"/>
      <c r="J96" s="736"/>
      <c r="K96" s="805">
        <v>1454969.42</v>
      </c>
      <c r="L96" s="735"/>
      <c r="M96" s="736"/>
      <c r="N96" s="805">
        <v>1441390.13</v>
      </c>
      <c r="O96" s="735"/>
      <c r="P96" s="736"/>
      <c r="Q96" s="805">
        <v>1101235.54999999</v>
      </c>
      <c r="R96" s="735"/>
      <c r="S96" s="736"/>
      <c r="T96" s="805">
        <v>1785178.63</v>
      </c>
      <c r="U96" s="735"/>
      <c r="V96" s="736"/>
      <c r="W96" s="805">
        <v>1325634.6399999999</v>
      </c>
      <c r="X96" s="735"/>
      <c r="Y96" s="736"/>
      <c r="Z96" s="805">
        <v>1416483.5799999901</v>
      </c>
      <c r="AA96" s="735"/>
      <c r="AB96" s="736"/>
      <c r="AC96" s="805">
        <v>1094286.6100000001</v>
      </c>
      <c r="AD96" s="735"/>
      <c r="AE96" s="736"/>
      <c r="AF96" s="805">
        <v>1166915.49999999</v>
      </c>
      <c r="AG96" s="735"/>
      <c r="AH96" s="736"/>
      <c r="AI96" s="805">
        <v>1341799.54</v>
      </c>
      <c r="AJ96" s="735"/>
      <c r="AK96" s="736"/>
      <c r="AL96" s="805">
        <v>1025214.04999999</v>
      </c>
      <c r="AM96" s="735"/>
      <c r="AN96" s="736"/>
      <c r="AO96" s="805">
        <v>803576.36</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304</v>
      </c>
      <c r="D97" s="740">
        <v>949.22845394736669</v>
      </c>
      <c r="E97" s="741">
        <v>288565.44999999949</v>
      </c>
      <c r="F97" s="742">
        <v>11</v>
      </c>
      <c r="G97" s="740">
        <v>311.87272727272637</v>
      </c>
      <c r="H97" s="743">
        <v>3430.5999999999899</v>
      </c>
      <c r="I97" s="742">
        <v>25</v>
      </c>
      <c r="J97" s="740">
        <v>127.26040000000359</v>
      </c>
      <c r="K97" s="743">
        <v>3181.5100000000898</v>
      </c>
      <c r="L97" s="742">
        <v>22</v>
      </c>
      <c r="M97" s="740">
        <v>1225.9168181818181</v>
      </c>
      <c r="N97" s="743">
        <v>26970.17</v>
      </c>
      <c r="O97" s="742">
        <v>22</v>
      </c>
      <c r="P97" s="740">
        <v>1680.7486363636317</v>
      </c>
      <c r="Q97" s="743">
        <v>36976.469999999899</v>
      </c>
      <c r="R97" s="742">
        <v>38</v>
      </c>
      <c r="S97" s="740">
        <v>23.055789473685028</v>
      </c>
      <c r="T97" s="743">
        <v>876.12000000003104</v>
      </c>
      <c r="U97" s="742">
        <v>31</v>
      </c>
      <c r="V97" s="740">
        <v>599.35870967741619</v>
      </c>
      <c r="W97" s="743">
        <v>18580.119999999901</v>
      </c>
      <c r="X97" s="742">
        <v>25</v>
      </c>
      <c r="Y97" s="740">
        <v>1627.894399999996</v>
      </c>
      <c r="Z97" s="743">
        <v>40697.359999999899</v>
      </c>
      <c r="AA97" s="742">
        <v>19</v>
      </c>
      <c r="AB97" s="740">
        <v>922.09052631578959</v>
      </c>
      <c r="AC97" s="743">
        <v>17519.72</v>
      </c>
      <c r="AD97" s="742">
        <v>27</v>
      </c>
      <c r="AE97" s="740">
        <v>1293.3581481481442</v>
      </c>
      <c r="AF97" s="743">
        <v>34920.669999999896</v>
      </c>
      <c r="AG97" s="742">
        <v>37</v>
      </c>
      <c r="AH97" s="740">
        <v>1033.9343243243243</v>
      </c>
      <c r="AI97" s="743">
        <v>38255.57</v>
      </c>
      <c r="AJ97" s="742">
        <v>30</v>
      </c>
      <c r="AK97" s="740">
        <v>1597.6809999999966</v>
      </c>
      <c r="AL97" s="743">
        <v>47930.429999999898</v>
      </c>
      <c r="AM97" s="742">
        <v>17</v>
      </c>
      <c r="AN97" s="740">
        <v>1130.9829411764647</v>
      </c>
      <c r="AO97" s="743">
        <v>19226.709999999901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11</v>
      </c>
      <c r="D98" s="740">
        <v>-2135.6709090909094</v>
      </c>
      <c r="E98" s="741">
        <v>-23492.38</v>
      </c>
      <c r="F98" s="742">
        <v>1</v>
      </c>
      <c r="G98" s="740">
        <v>450</v>
      </c>
      <c r="H98" s="743">
        <v>450</v>
      </c>
      <c r="I98" s="742">
        <v>2</v>
      </c>
      <c r="J98" s="740">
        <v>-4595.2099999999946</v>
      </c>
      <c r="K98" s="743">
        <v>-9190.4199999999892</v>
      </c>
      <c r="L98" s="742">
        <v>0</v>
      </c>
      <c r="M98" s="740">
        <v>0</v>
      </c>
      <c r="N98" s="743">
        <v>0</v>
      </c>
      <c r="O98" s="742">
        <v>1</v>
      </c>
      <c r="P98" s="740">
        <v>1000</v>
      </c>
      <c r="Q98" s="743">
        <v>1000</v>
      </c>
      <c r="R98" s="742">
        <v>2</v>
      </c>
      <c r="S98" s="740">
        <v>-811.44999999999504</v>
      </c>
      <c r="T98" s="743">
        <v>-1622.8999999999901</v>
      </c>
      <c r="U98" s="742">
        <v>2</v>
      </c>
      <c r="V98" s="740">
        <v>1491.0899999999949</v>
      </c>
      <c r="W98" s="743">
        <v>2982.1799999999898</v>
      </c>
      <c r="X98" s="742">
        <v>5</v>
      </c>
      <c r="Y98" s="740">
        <v>1346.9039999999982</v>
      </c>
      <c r="Z98" s="743">
        <v>6734.5199999999904</v>
      </c>
      <c r="AA98" s="742">
        <v>6</v>
      </c>
      <c r="AB98" s="740">
        <v>615.43666666666661</v>
      </c>
      <c r="AC98" s="743">
        <v>3692.62</v>
      </c>
      <c r="AD98" s="742">
        <v>-13</v>
      </c>
      <c r="AE98" s="740">
        <v>1650.3969230769239</v>
      </c>
      <c r="AF98" s="743">
        <v>-21455.160000000011</v>
      </c>
      <c r="AG98" s="742">
        <v>3</v>
      </c>
      <c r="AH98" s="740">
        <v>-1128.6233333333332</v>
      </c>
      <c r="AI98" s="743">
        <v>-3385.87</v>
      </c>
      <c r="AJ98" s="742">
        <v>2</v>
      </c>
      <c r="AK98" s="740">
        <v>-1112.959999999995</v>
      </c>
      <c r="AL98" s="743">
        <v>-2225.9199999999901</v>
      </c>
      <c r="AM98" s="742">
        <v>0</v>
      </c>
      <c r="AN98" s="740">
        <v>0</v>
      </c>
      <c r="AO98" s="743">
        <v>-471.43</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3859</v>
      </c>
      <c r="C99" s="739">
        <v>7</v>
      </c>
      <c r="D99" s="740">
        <v>5686.2242857142837</v>
      </c>
      <c r="E99" s="741">
        <v>39803.569999999985</v>
      </c>
      <c r="F99" s="742">
        <v>0</v>
      </c>
      <c r="G99" s="740">
        <v>0</v>
      </c>
      <c r="H99" s="743">
        <v>0</v>
      </c>
      <c r="I99" s="742">
        <v>0</v>
      </c>
      <c r="J99" s="740">
        <v>0</v>
      </c>
      <c r="K99" s="743">
        <v>0</v>
      </c>
      <c r="L99" s="742">
        <v>0</v>
      </c>
      <c r="M99" s="740">
        <v>0</v>
      </c>
      <c r="N99" s="743">
        <v>0</v>
      </c>
      <c r="O99" s="742">
        <v>0</v>
      </c>
      <c r="P99" s="740">
        <v>0</v>
      </c>
      <c r="Q99" s="743">
        <v>0</v>
      </c>
      <c r="R99" s="742">
        <v>0</v>
      </c>
      <c r="S99" s="740">
        <v>0</v>
      </c>
      <c r="T99" s="743">
        <v>0</v>
      </c>
      <c r="U99" s="742">
        <v>0</v>
      </c>
      <c r="V99" s="740">
        <v>0</v>
      </c>
      <c r="W99" s="743">
        <v>0</v>
      </c>
      <c r="X99" s="742">
        <v>0</v>
      </c>
      <c r="Y99" s="740">
        <v>0</v>
      </c>
      <c r="Z99" s="743">
        <v>0</v>
      </c>
      <c r="AA99" s="742">
        <v>0</v>
      </c>
      <c r="AB99" s="740">
        <v>0</v>
      </c>
      <c r="AC99" s="743">
        <v>0</v>
      </c>
      <c r="AD99" s="742">
        <v>0</v>
      </c>
      <c r="AE99" s="740">
        <v>0</v>
      </c>
      <c r="AF99" s="743">
        <v>24564.57</v>
      </c>
      <c r="AG99" s="742">
        <v>3</v>
      </c>
      <c r="AH99" s="740">
        <v>2230.9333333333334</v>
      </c>
      <c r="AI99" s="743">
        <v>6692.8</v>
      </c>
      <c r="AJ99" s="742">
        <v>3</v>
      </c>
      <c r="AK99" s="740">
        <v>2132.8666666666636</v>
      </c>
      <c r="AL99" s="743">
        <v>6398.5999999999904</v>
      </c>
      <c r="AM99" s="742">
        <v>1</v>
      </c>
      <c r="AN99" s="740">
        <v>2147.6</v>
      </c>
      <c r="AO99" s="743">
        <v>2147.6</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322</v>
      </c>
      <c r="D100" s="745">
        <v>946.82186335403571</v>
      </c>
      <c r="E100" s="746">
        <v>304876.63999999949</v>
      </c>
      <c r="F100" s="744">
        <v>12</v>
      </c>
      <c r="G100" s="745">
        <v>323.38333333333247</v>
      </c>
      <c r="H100" s="746">
        <v>3880.5999999999899</v>
      </c>
      <c r="I100" s="744">
        <v>27</v>
      </c>
      <c r="J100" s="745">
        <v>-222.55222222221852</v>
      </c>
      <c r="K100" s="746">
        <v>-6008.9099999998998</v>
      </c>
      <c r="L100" s="744">
        <v>22</v>
      </c>
      <c r="M100" s="745">
        <v>1225.9168181818181</v>
      </c>
      <c r="N100" s="746">
        <v>26970.17</v>
      </c>
      <c r="O100" s="744">
        <v>23</v>
      </c>
      <c r="P100" s="745">
        <v>1651.150869565213</v>
      </c>
      <c r="Q100" s="746">
        <v>37976.469999999899</v>
      </c>
      <c r="R100" s="744">
        <v>40</v>
      </c>
      <c r="S100" s="745">
        <v>-18.669499999998976</v>
      </c>
      <c r="T100" s="746">
        <v>-746.77999999995905</v>
      </c>
      <c r="U100" s="744">
        <v>33</v>
      </c>
      <c r="V100" s="745">
        <v>653.40303030302698</v>
      </c>
      <c r="W100" s="746">
        <v>21562.29999999989</v>
      </c>
      <c r="X100" s="744">
        <v>30</v>
      </c>
      <c r="Y100" s="745">
        <v>1581.0626666666628</v>
      </c>
      <c r="Z100" s="746">
        <v>47431.879999999888</v>
      </c>
      <c r="AA100" s="744">
        <v>25</v>
      </c>
      <c r="AB100" s="745">
        <v>848.49360000000001</v>
      </c>
      <c r="AC100" s="746">
        <v>21212.34</v>
      </c>
      <c r="AD100" s="744">
        <v>14</v>
      </c>
      <c r="AE100" s="745">
        <v>2716.4342857142774</v>
      </c>
      <c r="AF100" s="746">
        <v>38030.079999999885</v>
      </c>
      <c r="AG100" s="744">
        <v>43</v>
      </c>
      <c r="AH100" s="745">
        <v>966.56976744186045</v>
      </c>
      <c r="AI100" s="746">
        <v>41562.5</v>
      </c>
      <c r="AJ100" s="744">
        <v>35</v>
      </c>
      <c r="AK100" s="745">
        <v>1488.6602857142827</v>
      </c>
      <c r="AL100" s="746">
        <v>52103.109999999899</v>
      </c>
      <c r="AM100" s="744">
        <v>18</v>
      </c>
      <c r="AN100" s="745">
        <v>1161.2711111111055</v>
      </c>
      <c r="AO100" s="746">
        <v>20902.879999999899</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c r="G102" s="757"/>
      <c r="H102" s="748"/>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394</v>
      </c>
      <c r="D103" s="740">
        <v>-49.915126903553222</v>
      </c>
      <c r="E103" s="741">
        <v>-19666.559999999969</v>
      </c>
      <c r="F103" s="742">
        <v>40</v>
      </c>
      <c r="G103" s="740">
        <v>5.7499999995343247E-3</v>
      </c>
      <c r="H103" s="743">
        <v>0.22999999998137299</v>
      </c>
      <c r="I103" s="742">
        <v>37</v>
      </c>
      <c r="J103" s="740">
        <v>-55.195405405404863</v>
      </c>
      <c r="K103" s="743">
        <v>-2042.22999999998</v>
      </c>
      <c r="L103" s="742">
        <v>35</v>
      </c>
      <c r="M103" s="740">
        <v>494.95057142857144</v>
      </c>
      <c r="N103" s="743">
        <v>17323.27</v>
      </c>
      <c r="O103" s="742">
        <v>31</v>
      </c>
      <c r="P103" s="740">
        <v>-367.32290322580644</v>
      </c>
      <c r="Q103" s="743">
        <v>-11387.01</v>
      </c>
      <c r="R103" s="742">
        <v>47</v>
      </c>
      <c r="S103" s="740">
        <v>-663.50468085106388</v>
      </c>
      <c r="T103" s="743">
        <v>-31184.720000000001</v>
      </c>
      <c r="U103" s="742">
        <v>29</v>
      </c>
      <c r="V103" s="740">
        <v>144.9951724137924</v>
      </c>
      <c r="W103" s="743">
        <v>4204.8599999999797</v>
      </c>
      <c r="X103" s="742">
        <v>37</v>
      </c>
      <c r="Y103" s="740">
        <v>-125.19594594594595</v>
      </c>
      <c r="Z103" s="743">
        <v>-4632.25</v>
      </c>
      <c r="AA103" s="742">
        <v>42</v>
      </c>
      <c r="AB103" s="740">
        <v>10.700238095238857</v>
      </c>
      <c r="AC103" s="743">
        <v>449.41000000003203</v>
      </c>
      <c r="AD103" s="742">
        <v>32</v>
      </c>
      <c r="AE103" s="740">
        <v>218.91062500000032</v>
      </c>
      <c r="AF103" s="743">
        <v>7005.1400000000103</v>
      </c>
      <c r="AG103" s="742">
        <v>23</v>
      </c>
      <c r="AH103" s="740">
        <v>251.70434782608737</v>
      </c>
      <c r="AI103" s="743">
        <v>5789.2000000000098</v>
      </c>
      <c r="AJ103" s="742">
        <v>19</v>
      </c>
      <c r="AK103" s="740">
        <v>279.54947368421051</v>
      </c>
      <c r="AL103" s="743">
        <v>5311.44</v>
      </c>
      <c r="AM103" s="742">
        <v>22</v>
      </c>
      <c r="AN103" s="740">
        <v>-477.45</v>
      </c>
      <c r="AO103" s="743">
        <v>-10503.9</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267.29987577639753</v>
      </c>
      <c r="E105" s="741">
        <v>86070.56</v>
      </c>
      <c r="F105" s="742"/>
      <c r="G105" s="740">
        <v>-316.30833333333334</v>
      </c>
      <c r="H105" s="743">
        <v>-3795.7</v>
      </c>
      <c r="I105" s="742"/>
      <c r="J105" s="740">
        <v>126.87666666666667</v>
      </c>
      <c r="K105" s="743">
        <v>3425.67</v>
      </c>
      <c r="L105" s="742"/>
      <c r="M105" s="740">
        <v>304.22363636363639</v>
      </c>
      <c r="N105" s="743">
        <v>6692.92</v>
      </c>
      <c r="O105" s="742"/>
      <c r="P105" s="740">
        <v>360.09913043478264</v>
      </c>
      <c r="Q105" s="743">
        <v>8282.2800000000007</v>
      </c>
      <c r="R105" s="742"/>
      <c r="S105" s="740">
        <v>264.23649999999998</v>
      </c>
      <c r="T105" s="743">
        <v>10569.46</v>
      </c>
      <c r="U105" s="742"/>
      <c r="V105" s="740">
        <v>273.09787878787876</v>
      </c>
      <c r="W105" s="743">
        <v>9012.23</v>
      </c>
      <c r="X105" s="742"/>
      <c r="Y105" s="740">
        <v>275.55500000000001</v>
      </c>
      <c r="Z105" s="743">
        <v>8266.65</v>
      </c>
      <c r="AA105" s="742"/>
      <c r="AB105" s="740">
        <v>109.0996</v>
      </c>
      <c r="AC105" s="743">
        <v>2727.49</v>
      </c>
      <c r="AD105" s="742"/>
      <c r="AE105" s="740">
        <v>845.18214285714282</v>
      </c>
      <c r="AF105" s="743">
        <v>11832.55</v>
      </c>
      <c r="AG105" s="742"/>
      <c r="AH105" s="740">
        <v>354.06837209302324</v>
      </c>
      <c r="AI105" s="743">
        <v>15224.94</v>
      </c>
      <c r="AJ105" s="742"/>
      <c r="AK105" s="740">
        <v>283.59714285714284</v>
      </c>
      <c r="AL105" s="743">
        <v>9925.9</v>
      </c>
      <c r="AM105" s="742"/>
      <c r="AN105" s="740">
        <v>217.00944444444445</v>
      </c>
      <c r="AO105" s="743">
        <v>3906.17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1438.4532608695647</v>
      </c>
      <c r="E106" s="741">
        <v>463181.94999999984</v>
      </c>
      <c r="F106" s="742"/>
      <c r="G106" s="740">
        <v>1480.4991666666583</v>
      </c>
      <c r="H106" s="743">
        <v>17765.9899999999</v>
      </c>
      <c r="I106" s="742"/>
      <c r="J106" s="740">
        <v>636.58629629629638</v>
      </c>
      <c r="K106" s="743">
        <v>17187.830000000002</v>
      </c>
      <c r="L106" s="742"/>
      <c r="M106" s="740">
        <v>1189.284090909091</v>
      </c>
      <c r="N106" s="743">
        <v>26164.25</v>
      </c>
      <c r="O106" s="742"/>
      <c r="P106" s="740">
        <v>1173.4047826086912</v>
      </c>
      <c r="Q106" s="743">
        <v>26988.309999999899</v>
      </c>
      <c r="R106" s="742"/>
      <c r="S106" s="740">
        <v>1738.2057499999999</v>
      </c>
      <c r="T106" s="743">
        <v>69528.23</v>
      </c>
      <c r="U106" s="742"/>
      <c r="V106" s="740">
        <v>1518.8015151515151</v>
      </c>
      <c r="W106" s="743">
        <v>50120.45</v>
      </c>
      <c r="X106" s="742"/>
      <c r="Y106" s="740">
        <v>1564.6716666666666</v>
      </c>
      <c r="Z106" s="743">
        <v>46940.15</v>
      </c>
      <c r="AA106" s="742"/>
      <c r="AB106" s="740">
        <v>1018.2744</v>
      </c>
      <c r="AC106" s="743">
        <v>25456.86</v>
      </c>
      <c r="AD106" s="742"/>
      <c r="AE106" s="740">
        <v>3171.2949999999996</v>
      </c>
      <c r="AF106" s="743">
        <v>44398.13</v>
      </c>
      <c r="AG106" s="742"/>
      <c r="AH106" s="740">
        <v>1561.193953488372</v>
      </c>
      <c r="AI106" s="743">
        <v>67131.34</v>
      </c>
      <c r="AJ106" s="742"/>
      <c r="AK106" s="740">
        <v>1232.4862857142857</v>
      </c>
      <c r="AL106" s="743">
        <v>43137.02</v>
      </c>
      <c r="AM106" s="742"/>
      <c r="AN106" s="740">
        <v>1575.7438888888889</v>
      </c>
      <c r="AO106" s="743">
        <v>28363.39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30.501180124223598</v>
      </c>
      <c r="E107" s="741">
        <v>9821.3799999999992</v>
      </c>
      <c r="F107" s="742">
        <v>0</v>
      </c>
      <c r="G107" s="807">
        <v>45.385833333333331</v>
      </c>
      <c r="H107" s="743">
        <v>544.63</v>
      </c>
      <c r="I107" s="742">
        <v>0</v>
      </c>
      <c r="J107" s="807">
        <v>0</v>
      </c>
      <c r="K107" s="743">
        <v>0</v>
      </c>
      <c r="L107" s="742">
        <v>0</v>
      </c>
      <c r="M107" s="807">
        <v>0</v>
      </c>
      <c r="N107" s="743">
        <v>0</v>
      </c>
      <c r="O107" s="742">
        <v>0</v>
      </c>
      <c r="P107" s="807">
        <v>28.495217391304347</v>
      </c>
      <c r="Q107" s="743">
        <v>655.39</v>
      </c>
      <c r="R107" s="742">
        <v>0</v>
      </c>
      <c r="S107" s="807">
        <v>32.940249999999999</v>
      </c>
      <c r="T107" s="743">
        <v>1317.61</v>
      </c>
      <c r="U107" s="742">
        <v>0</v>
      </c>
      <c r="V107" s="807">
        <v>0</v>
      </c>
      <c r="W107" s="743">
        <v>0</v>
      </c>
      <c r="X107" s="742">
        <v>0</v>
      </c>
      <c r="Y107" s="807">
        <v>67.894666666666666</v>
      </c>
      <c r="Z107" s="743">
        <v>2036.84</v>
      </c>
      <c r="AA107" s="742">
        <v>0</v>
      </c>
      <c r="AB107" s="807">
        <v>63.497600000000006</v>
      </c>
      <c r="AC107" s="743">
        <v>1587.44</v>
      </c>
      <c r="AD107" s="742">
        <v>0</v>
      </c>
      <c r="AE107" s="807">
        <v>140.98499999999999</v>
      </c>
      <c r="AF107" s="743">
        <v>1973.79</v>
      </c>
      <c r="AG107" s="742">
        <v>3</v>
      </c>
      <c r="AH107" s="807">
        <v>26.634651162790696</v>
      </c>
      <c r="AI107" s="743">
        <v>1145.29</v>
      </c>
      <c r="AJ107" s="742">
        <v>3</v>
      </c>
      <c r="AK107" s="807">
        <v>16.011142857142858</v>
      </c>
      <c r="AL107" s="743">
        <v>560.39</v>
      </c>
      <c r="AM107" s="742">
        <v>1</v>
      </c>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322</v>
      </c>
      <c r="D108" s="745">
        <v>1736.2543167701856</v>
      </c>
      <c r="E108" s="746">
        <v>559073.88999999978</v>
      </c>
      <c r="F108" s="744">
        <v>12</v>
      </c>
      <c r="G108" s="745">
        <v>1209.5766666666582</v>
      </c>
      <c r="H108" s="746">
        <v>14514.919999999898</v>
      </c>
      <c r="I108" s="744">
        <v>27</v>
      </c>
      <c r="J108" s="745">
        <v>763.46296296296293</v>
      </c>
      <c r="K108" s="746">
        <v>20613.5</v>
      </c>
      <c r="L108" s="744">
        <v>22</v>
      </c>
      <c r="M108" s="745">
        <v>1493.5077272727272</v>
      </c>
      <c r="N108" s="746">
        <v>32857.17</v>
      </c>
      <c r="O108" s="744">
        <v>23</v>
      </c>
      <c r="P108" s="745">
        <v>1561.9991304347784</v>
      </c>
      <c r="Q108" s="746">
        <v>35925.979999999901</v>
      </c>
      <c r="R108" s="744">
        <v>40</v>
      </c>
      <c r="S108" s="745">
        <v>2035.3825000000002</v>
      </c>
      <c r="T108" s="746">
        <v>81415.3</v>
      </c>
      <c r="U108" s="744">
        <v>33</v>
      </c>
      <c r="V108" s="745">
        <v>1791.8993939393938</v>
      </c>
      <c r="W108" s="746">
        <v>59132.679999999993</v>
      </c>
      <c r="X108" s="744">
        <v>30</v>
      </c>
      <c r="Y108" s="745">
        <v>1908.1213333333333</v>
      </c>
      <c r="Z108" s="746">
        <v>57243.64</v>
      </c>
      <c r="AA108" s="744">
        <v>25</v>
      </c>
      <c r="AB108" s="745">
        <v>1190.8715999999999</v>
      </c>
      <c r="AC108" s="746">
        <v>29771.789999999997</v>
      </c>
      <c r="AD108" s="744">
        <v>14</v>
      </c>
      <c r="AE108" s="745">
        <v>4157.4621428571427</v>
      </c>
      <c r="AF108" s="746">
        <v>58204.469999999994</v>
      </c>
      <c r="AG108" s="744">
        <v>43</v>
      </c>
      <c r="AH108" s="745">
        <v>1941.8969767441858</v>
      </c>
      <c r="AI108" s="746">
        <v>83501.569999999992</v>
      </c>
      <c r="AJ108" s="744">
        <v>35</v>
      </c>
      <c r="AK108" s="745">
        <v>1532.0945714285713</v>
      </c>
      <c r="AL108" s="746">
        <v>53623.31</v>
      </c>
      <c r="AM108" s="744">
        <v>18</v>
      </c>
      <c r="AN108" s="745">
        <v>1792.7533333333331</v>
      </c>
      <c r="AO108" s="746">
        <v>32269.559999999998</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716</v>
      </c>
      <c r="D111" s="760">
        <v>1179.167555865921</v>
      </c>
      <c r="E111" s="761">
        <v>844283.96999999939</v>
      </c>
      <c r="F111" s="759">
        <v>52</v>
      </c>
      <c r="G111" s="760">
        <v>353.76442307692054</v>
      </c>
      <c r="H111" s="761">
        <v>18395.749999999869</v>
      </c>
      <c r="I111" s="759">
        <v>64</v>
      </c>
      <c r="J111" s="760">
        <v>196.28687500000188</v>
      </c>
      <c r="K111" s="761">
        <v>12562.360000000121</v>
      </c>
      <c r="L111" s="759">
        <v>57</v>
      </c>
      <c r="M111" s="760">
        <v>1353.5194736842104</v>
      </c>
      <c r="N111" s="761">
        <v>77150.61</v>
      </c>
      <c r="O111" s="759">
        <v>54</v>
      </c>
      <c r="P111" s="760">
        <v>1157.6933333333297</v>
      </c>
      <c r="Q111" s="761">
        <v>62515.439999999806</v>
      </c>
      <c r="R111" s="759">
        <v>87</v>
      </c>
      <c r="S111" s="760">
        <v>568.7793103448281</v>
      </c>
      <c r="T111" s="761">
        <v>49483.800000000047</v>
      </c>
      <c r="U111" s="759">
        <v>62</v>
      </c>
      <c r="V111" s="760">
        <v>1369.352258064514</v>
      </c>
      <c r="W111" s="761">
        <v>84899.839999999866</v>
      </c>
      <c r="X111" s="759">
        <v>67</v>
      </c>
      <c r="Y111" s="760">
        <v>1493.1831343283566</v>
      </c>
      <c r="Z111" s="761">
        <v>100043.26999999989</v>
      </c>
      <c r="AA111" s="759">
        <v>67</v>
      </c>
      <c r="AB111" s="760">
        <v>767.66477611940343</v>
      </c>
      <c r="AC111" s="761">
        <v>51433.54000000003</v>
      </c>
      <c r="AD111" s="759">
        <v>46</v>
      </c>
      <c r="AE111" s="760">
        <v>2244.3410869565191</v>
      </c>
      <c r="AF111" s="761">
        <v>103239.68999999989</v>
      </c>
      <c r="AG111" s="759">
        <v>66</v>
      </c>
      <c r="AH111" s="760">
        <v>1982.625303030303</v>
      </c>
      <c r="AI111" s="761">
        <v>130853.27</v>
      </c>
      <c r="AJ111" s="759">
        <v>54</v>
      </c>
      <c r="AK111" s="760">
        <v>2056.2566666666648</v>
      </c>
      <c r="AL111" s="761">
        <v>111037.8599999999</v>
      </c>
      <c r="AM111" s="759">
        <v>40</v>
      </c>
      <c r="AN111" s="760">
        <v>1066.7134999999976</v>
      </c>
      <c r="AO111" s="761">
        <v>42668.539999999899</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0.65579458629562548</v>
      </c>
      <c r="D115" s="770">
        <v>634.71888888888896</v>
      </c>
      <c r="E115" s="758">
        <v>199936.45</v>
      </c>
      <c r="F115" s="769">
        <v>0.49508436836028374</v>
      </c>
      <c r="G115" s="770">
        <v>0</v>
      </c>
      <c r="H115" s="771">
        <v>7186.11</v>
      </c>
      <c r="I115" s="769">
        <v>0.60701627574162564</v>
      </c>
      <c r="J115" s="770">
        <v>0</v>
      </c>
      <c r="K115" s="771">
        <v>12512.73</v>
      </c>
      <c r="L115" s="769">
        <v>0.46562196318185656</v>
      </c>
      <c r="M115" s="770">
        <v>0</v>
      </c>
      <c r="N115" s="771">
        <v>15299.02</v>
      </c>
      <c r="O115" s="769">
        <v>0.35793233754514242</v>
      </c>
      <c r="P115" s="770">
        <v>0</v>
      </c>
      <c r="Q115" s="771">
        <v>12859.07</v>
      </c>
      <c r="R115" s="769">
        <v>0.26825228181926491</v>
      </c>
      <c r="S115" s="770">
        <v>0</v>
      </c>
      <c r="T115" s="771">
        <v>21839.84</v>
      </c>
      <c r="U115" s="769">
        <v>0.29120547216868914</v>
      </c>
      <c r="V115" s="770">
        <v>0</v>
      </c>
      <c r="W115" s="771">
        <v>17219.759999999998</v>
      </c>
      <c r="X115" s="769">
        <v>0.26273905712494872</v>
      </c>
      <c r="Y115" s="770">
        <v>0</v>
      </c>
      <c r="Z115" s="771">
        <v>15040.14</v>
      </c>
      <c r="AA115" s="769">
        <v>0.47119571916905234</v>
      </c>
      <c r="AB115" s="770">
        <v>0</v>
      </c>
      <c r="AC115" s="771">
        <v>14028.34</v>
      </c>
      <c r="AD115" s="769">
        <v>0.32499050330670487</v>
      </c>
      <c r="AE115" s="770">
        <v>0</v>
      </c>
      <c r="AF115" s="771">
        <v>18915.900000000001</v>
      </c>
      <c r="AG115" s="769">
        <v>0.30544862809166345</v>
      </c>
      <c r="AH115" s="770">
        <v>637.63599999999997</v>
      </c>
      <c r="AI115" s="771">
        <v>25505.439999999999</v>
      </c>
      <c r="AJ115" s="769">
        <v>0.48050222934764752</v>
      </c>
      <c r="AK115" s="770">
        <v>805.19124999999997</v>
      </c>
      <c r="AL115" s="771">
        <v>25766.12</v>
      </c>
      <c r="AM115" s="769">
        <v>0.42653138127696816</v>
      </c>
      <c r="AN115" s="770">
        <v>809.64588235294116</v>
      </c>
      <c r="AO115" s="771">
        <v>13763.98</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0.29558794097860674</v>
      </c>
      <c r="D116" s="773">
        <v>524.62063492063487</v>
      </c>
      <c r="E116" s="774">
        <v>165255.5</v>
      </c>
      <c r="F116" s="772"/>
      <c r="G116" s="773">
        <v>0</v>
      </c>
      <c r="H116" s="775">
        <v>4354.24</v>
      </c>
      <c r="I116" s="772"/>
      <c r="J116" s="773">
        <v>0</v>
      </c>
      <c r="K116" s="775">
        <v>7384.61</v>
      </c>
      <c r="L116" s="772"/>
      <c r="M116" s="773">
        <v>0</v>
      </c>
      <c r="N116" s="775">
        <v>9856.4500000000007</v>
      </c>
      <c r="O116" s="772"/>
      <c r="P116" s="773">
        <v>0</v>
      </c>
      <c r="Q116" s="775">
        <v>10777.44</v>
      </c>
      <c r="R116" s="772"/>
      <c r="S116" s="773">
        <v>0</v>
      </c>
      <c r="T116" s="775">
        <v>24424.86</v>
      </c>
      <c r="U116" s="772"/>
      <c r="V116" s="773">
        <v>0</v>
      </c>
      <c r="W116" s="775">
        <v>17739.740000000002</v>
      </c>
      <c r="X116" s="772"/>
      <c r="Y116" s="773">
        <v>0</v>
      </c>
      <c r="Z116" s="775">
        <v>17173.36</v>
      </c>
      <c r="AA116" s="772"/>
      <c r="AB116" s="773">
        <v>0</v>
      </c>
      <c r="AC116" s="775">
        <v>8038.1</v>
      </c>
      <c r="AD116" s="772"/>
      <c r="AE116" s="773">
        <v>0</v>
      </c>
      <c r="AF116" s="775">
        <v>16297.29</v>
      </c>
      <c r="AG116" s="772"/>
      <c r="AH116" s="773">
        <v>626.25874999999996</v>
      </c>
      <c r="AI116" s="775">
        <v>25050.35</v>
      </c>
      <c r="AJ116" s="772"/>
      <c r="AK116" s="773">
        <v>452.44687499999998</v>
      </c>
      <c r="AL116" s="775">
        <v>14478.3</v>
      </c>
      <c r="AM116" s="772"/>
      <c r="AN116" s="773">
        <v>569.45647058823533</v>
      </c>
      <c r="AO116" s="775">
        <v>9680.76</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8.1553333333333349</v>
      </c>
      <c r="E117" s="758">
        <v>2568.9300000000003</v>
      </c>
      <c r="F117" s="747"/>
      <c r="G117" s="770">
        <v>0</v>
      </c>
      <c r="H117" s="771">
        <v>1519.72</v>
      </c>
      <c r="I117" s="747"/>
      <c r="J117" s="770">
        <v>0</v>
      </c>
      <c r="K117" s="771">
        <v>613.33000000000004</v>
      </c>
      <c r="L117" s="747"/>
      <c r="M117" s="770">
        <v>0</v>
      </c>
      <c r="N117" s="771">
        <v>-2228.54</v>
      </c>
      <c r="O117" s="747"/>
      <c r="P117" s="770">
        <v>0</v>
      </c>
      <c r="Q117" s="771">
        <v>1892.94</v>
      </c>
      <c r="R117" s="747"/>
      <c r="S117" s="770">
        <v>0</v>
      </c>
      <c r="T117" s="771">
        <v>2739.55</v>
      </c>
      <c r="U117" s="747"/>
      <c r="V117" s="770">
        <v>0</v>
      </c>
      <c r="W117" s="771">
        <v>-623.27</v>
      </c>
      <c r="X117" s="747"/>
      <c r="Y117" s="770">
        <v>0</v>
      </c>
      <c r="Z117" s="771">
        <v>-1287.99</v>
      </c>
      <c r="AA117" s="747"/>
      <c r="AB117" s="770">
        <v>0</v>
      </c>
      <c r="AC117" s="771">
        <v>-15.31</v>
      </c>
      <c r="AD117" s="747"/>
      <c r="AE117" s="770">
        <v>0</v>
      </c>
      <c r="AF117" s="771">
        <v>1797.65</v>
      </c>
      <c r="AG117" s="747"/>
      <c r="AH117" s="770">
        <v>-50.030999999999999</v>
      </c>
      <c r="AI117" s="771">
        <v>-2001.24</v>
      </c>
      <c r="AJ117" s="747"/>
      <c r="AK117" s="770">
        <v>-40.971562499999997</v>
      </c>
      <c r="AL117" s="771">
        <v>-1311.09</v>
      </c>
      <c r="AM117" s="747"/>
      <c r="AN117" s="770">
        <v>86.657647058823528</v>
      </c>
      <c r="AO117" s="771">
        <v>1473.18</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59.857587301587309</v>
      </c>
      <c r="E118" s="758">
        <v>18855.140000000003</v>
      </c>
      <c r="F118" s="747"/>
      <c r="G118" s="770">
        <v>0</v>
      </c>
      <c r="H118" s="771">
        <v>38</v>
      </c>
      <c r="I118" s="747"/>
      <c r="J118" s="770">
        <v>0</v>
      </c>
      <c r="K118" s="771">
        <v>1400.79</v>
      </c>
      <c r="L118" s="747"/>
      <c r="M118" s="770">
        <v>0</v>
      </c>
      <c r="N118" s="771">
        <v>1117.03</v>
      </c>
      <c r="O118" s="747"/>
      <c r="P118" s="770">
        <v>0</v>
      </c>
      <c r="Q118" s="771">
        <v>2887.8</v>
      </c>
      <c r="R118" s="747"/>
      <c r="S118" s="770">
        <v>0</v>
      </c>
      <c r="T118" s="771">
        <v>-389.85</v>
      </c>
      <c r="U118" s="747"/>
      <c r="V118" s="770">
        <v>0</v>
      </c>
      <c r="W118" s="771">
        <v>2268.5700000000002</v>
      </c>
      <c r="X118" s="747"/>
      <c r="Y118" s="770">
        <v>0</v>
      </c>
      <c r="Z118" s="771">
        <v>2653.11</v>
      </c>
      <c r="AA118" s="747"/>
      <c r="AB118" s="770">
        <v>0</v>
      </c>
      <c r="AC118" s="771">
        <v>2272.79</v>
      </c>
      <c r="AD118" s="747"/>
      <c r="AE118" s="770">
        <v>0</v>
      </c>
      <c r="AF118" s="771">
        <v>3035.17</v>
      </c>
      <c r="AG118" s="747"/>
      <c r="AH118" s="770">
        <v>58.542250000000003</v>
      </c>
      <c r="AI118" s="771">
        <v>2341.69</v>
      </c>
      <c r="AJ118" s="747"/>
      <c r="AK118" s="770">
        <v>90.801249999999996</v>
      </c>
      <c r="AL118" s="771">
        <v>2905.64</v>
      </c>
      <c r="AM118" s="747"/>
      <c r="AN118" s="770">
        <v>-98.564705882352939</v>
      </c>
      <c r="AO118" s="771">
        <v>-1675.6</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173.05390476190476</v>
      </c>
      <c r="E119" s="774">
        <v>54511.979999999996</v>
      </c>
      <c r="F119" s="776"/>
      <c r="G119" s="773">
        <v>0</v>
      </c>
      <c r="H119" s="775">
        <v>3177.35</v>
      </c>
      <c r="I119" s="776"/>
      <c r="J119" s="773">
        <v>0</v>
      </c>
      <c r="K119" s="775">
        <v>3492.9</v>
      </c>
      <c r="L119" s="776"/>
      <c r="M119" s="773">
        <v>0</v>
      </c>
      <c r="N119" s="775">
        <v>4489.08</v>
      </c>
      <c r="O119" s="776"/>
      <c r="P119" s="773">
        <v>0</v>
      </c>
      <c r="Q119" s="775">
        <v>4108.42</v>
      </c>
      <c r="R119" s="776"/>
      <c r="S119" s="773">
        <v>0</v>
      </c>
      <c r="T119" s="775">
        <v>5020.07</v>
      </c>
      <c r="U119" s="776"/>
      <c r="V119" s="773">
        <v>0</v>
      </c>
      <c r="W119" s="775">
        <v>4851.47</v>
      </c>
      <c r="X119" s="776"/>
      <c r="Y119" s="773">
        <v>0</v>
      </c>
      <c r="Z119" s="775">
        <v>4778.57</v>
      </c>
      <c r="AA119" s="776"/>
      <c r="AB119" s="773">
        <v>0</v>
      </c>
      <c r="AC119" s="775">
        <v>4665.32</v>
      </c>
      <c r="AD119" s="776"/>
      <c r="AE119" s="773">
        <v>0</v>
      </c>
      <c r="AF119" s="775">
        <v>5256.57</v>
      </c>
      <c r="AG119" s="776"/>
      <c r="AH119" s="773">
        <v>146.48475000000002</v>
      </c>
      <c r="AI119" s="775">
        <v>5859.39</v>
      </c>
      <c r="AJ119" s="776"/>
      <c r="AK119" s="773">
        <v>157.16593750000001</v>
      </c>
      <c r="AL119" s="775">
        <v>5029.3100000000004</v>
      </c>
      <c r="AM119" s="776"/>
      <c r="AN119" s="773">
        <v>222.56058823529412</v>
      </c>
      <c r="AO119" s="775">
        <v>3783.53</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457.91799999999967</v>
      </c>
      <c r="E120" s="758">
        <v>144244.1699999999</v>
      </c>
      <c r="F120" s="747"/>
      <c r="G120" s="770">
        <v>0</v>
      </c>
      <c r="H120" s="771">
        <v>11560.44</v>
      </c>
      <c r="I120" s="747"/>
      <c r="J120" s="770">
        <v>0</v>
      </c>
      <c r="K120" s="771">
        <v>12871.78</v>
      </c>
      <c r="L120" s="747"/>
      <c r="M120" s="770">
        <v>0</v>
      </c>
      <c r="N120" s="771">
        <v>12312.14</v>
      </c>
      <c r="O120" s="747"/>
      <c r="P120" s="770">
        <v>0</v>
      </c>
      <c r="Q120" s="771">
        <v>11494.23</v>
      </c>
      <c r="R120" s="747"/>
      <c r="S120" s="770">
        <v>0</v>
      </c>
      <c r="T120" s="771">
        <v>10158.41</v>
      </c>
      <c r="U120" s="747"/>
      <c r="V120" s="770">
        <v>0</v>
      </c>
      <c r="W120" s="771">
        <v>10839.77</v>
      </c>
      <c r="X120" s="747"/>
      <c r="Y120" s="770">
        <v>0</v>
      </c>
      <c r="Z120" s="771">
        <v>12539.65</v>
      </c>
      <c r="AA120" s="747"/>
      <c r="AB120" s="770">
        <v>0</v>
      </c>
      <c r="AC120" s="771">
        <v>10623.51</v>
      </c>
      <c r="AD120" s="747"/>
      <c r="AE120" s="770">
        <v>0</v>
      </c>
      <c r="AF120" s="771">
        <v>13942.8499999999</v>
      </c>
      <c r="AG120" s="747"/>
      <c r="AH120" s="770">
        <v>325.66075000000001</v>
      </c>
      <c r="AI120" s="771">
        <v>13026.43</v>
      </c>
      <c r="AJ120" s="747"/>
      <c r="AK120" s="770">
        <v>338.94093750000002</v>
      </c>
      <c r="AL120" s="771">
        <v>10846.11</v>
      </c>
      <c r="AM120" s="747"/>
      <c r="AN120" s="770">
        <v>825.22647058823532</v>
      </c>
      <c r="AO120" s="771">
        <v>14028.85</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187.92057142857144</v>
      </c>
      <c r="E121" s="758">
        <v>59194.98</v>
      </c>
      <c r="F121" s="747"/>
      <c r="G121" s="770">
        <v>0</v>
      </c>
      <c r="H121" s="771">
        <v>6519.7</v>
      </c>
      <c r="I121" s="747"/>
      <c r="J121" s="770">
        <v>0</v>
      </c>
      <c r="K121" s="771">
        <v>8259.52</v>
      </c>
      <c r="L121" s="747"/>
      <c r="M121" s="770">
        <v>0</v>
      </c>
      <c r="N121" s="771">
        <v>8077.79</v>
      </c>
      <c r="O121" s="747"/>
      <c r="P121" s="770">
        <v>0</v>
      </c>
      <c r="Q121" s="771">
        <v>8719.49</v>
      </c>
      <c r="R121" s="747"/>
      <c r="S121" s="770">
        <v>0</v>
      </c>
      <c r="T121" s="771">
        <v>4128.1499999999996</v>
      </c>
      <c r="U121" s="747"/>
      <c r="V121" s="770">
        <v>0</v>
      </c>
      <c r="W121" s="771">
        <v>7155.41</v>
      </c>
      <c r="X121" s="747"/>
      <c r="Y121" s="770">
        <v>0</v>
      </c>
      <c r="Z121" s="771">
        <v>3775.53</v>
      </c>
      <c r="AA121" s="747"/>
      <c r="AB121" s="770">
        <v>0</v>
      </c>
      <c r="AC121" s="771">
        <v>1951.41</v>
      </c>
      <c r="AD121" s="747"/>
      <c r="AE121" s="770">
        <v>0</v>
      </c>
      <c r="AF121" s="771">
        <v>2583.41</v>
      </c>
      <c r="AG121" s="747"/>
      <c r="AH121" s="770">
        <v>80.372500000000002</v>
      </c>
      <c r="AI121" s="771">
        <v>3214.9</v>
      </c>
      <c r="AJ121" s="747"/>
      <c r="AK121" s="770">
        <v>71.833749999999995</v>
      </c>
      <c r="AL121" s="771">
        <v>2298.6799999999998</v>
      </c>
      <c r="AM121" s="747"/>
      <c r="AN121" s="770">
        <v>147.70529411764704</v>
      </c>
      <c r="AO121" s="771">
        <v>2510.9899999999998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v>0</v>
      </c>
      <c r="I122" s="812"/>
      <c r="J122" s="770">
        <v>0</v>
      </c>
      <c r="K122" s="758">
        <v>0</v>
      </c>
      <c r="L122" s="812"/>
      <c r="M122" s="770">
        <v>0</v>
      </c>
      <c r="N122" s="758">
        <v>0</v>
      </c>
      <c r="O122" s="812"/>
      <c r="P122" s="770">
        <v>0</v>
      </c>
      <c r="Q122" s="758">
        <v>0</v>
      </c>
      <c r="R122" s="812"/>
      <c r="S122" s="770">
        <v>0</v>
      </c>
      <c r="T122" s="758">
        <v>0</v>
      </c>
      <c r="U122" s="812"/>
      <c r="V122" s="770">
        <v>0</v>
      </c>
      <c r="W122" s="758">
        <v>0</v>
      </c>
      <c r="X122" s="812"/>
      <c r="Y122" s="770">
        <v>0</v>
      </c>
      <c r="Z122" s="758">
        <v>0</v>
      </c>
      <c r="AA122" s="812"/>
      <c r="AB122" s="770">
        <v>0</v>
      </c>
      <c r="AC122" s="758">
        <v>0</v>
      </c>
      <c r="AD122" s="812"/>
      <c r="AE122" s="770">
        <v>0</v>
      </c>
      <c r="AF122" s="758">
        <v>0</v>
      </c>
      <c r="AG122" s="812"/>
      <c r="AH122" s="770">
        <v>0</v>
      </c>
      <c r="AI122" s="758">
        <v>0</v>
      </c>
      <c r="AJ122" s="812"/>
      <c r="AK122" s="770">
        <v>0</v>
      </c>
      <c r="AL122" s="758">
        <v>0</v>
      </c>
      <c r="AM122" s="812"/>
      <c r="AN122" s="770">
        <v>0</v>
      </c>
      <c r="AO122" s="758">
        <v>0</v>
      </c>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v>0</v>
      </c>
      <c r="I123" s="812"/>
      <c r="J123" s="770">
        <v>0</v>
      </c>
      <c r="K123" s="758">
        <v>0</v>
      </c>
      <c r="L123" s="812"/>
      <c r="M123" s="770">
        <v>0</v>
      </c>
      <c r="N123" s="758">
        <v>0</v>
      </c>
      <c r="O123" s="812"/>
      <c r="P123" s="770">
        <v>0</v>
      </c>
      <c r="Q123" s="758">
        <v>0</v>
      </c>
      <c r="R123" s="812"/>
      <c r="S123" s="770">
        <v>0</v>
      </c>
      <c r="T123" s="758">
        <v>0</v>
      </c>
      <c r="U123" s="812"/>
      <c r="V123" s="770">
        <v>0</v>
      </c>
      <c r="W123" s="758">
        <v>0</v>
      </c>
      <c r="X123" s="812"/>
      <c r="Y123" s="770">
        <v>0</v>
      </c>
      <c r="Z123" s="758">
        <v>0</v>
      </c>
      <c r="AA123" s="812"/>
      <c r="AB123" s="770">
        <v>0</v>
      </c>
      <c r="AC123" s="758">
        <v>0</v>
      </c>
      <c r="AD123" s="812"/>
      <c r="AE123" s="770">
        <v>0</v>
      </c>
      <c r="AF123" s="758">
        <v>0</v>
      </c>
      <c r="AG123" s="812"/>
      <c r="AH123" s="770">
        <v>0</v>
      </c>
      <c r="AI123" s="758">
        <v>0</v>
      </c>
      <c r="AJ123" s="812"/>
      <c r="AK123" s="770">
        <v>0</v>
      </c>
      <c r="AL123" s="758">
        <v>0</v>
      </c>
      <c r="AM123" s="812"/>
      <c r="AN123" s="770">
        <v>0</v>
      </c>
      <c r="AO123" s="758">
        <v>0</v>
      </c>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t="s">
        <v>119</v>
      </c>
      <c r="G124" s="770">
        <v>0</v>
      </c>
      <c r="H124" s="758">
        <v>0</v>
      </c>
      <c r="I124" s="812" t="s">
        <v>119</v>
      </c>
      <c r="J124" s="770">
        <v>0</v>
      </c>
      <c r="K124" s="758">
        <v>0</v>
      </c>
      <c r="L124" s="812" t="s">
        <v>119</v>
      </c>
      <c r="M124" s="770">
        <v>0</v>
      </c>
      <c r="N124" s="758">
        <v>0</v>
      </c>
      <c r="O124" s="812" t="s">
        <v>119</v>
      </c>
      <c r="P124" s="770">
        <v>0</v>
      </c>
      <c r="Q124" s="758">
        <v>0</v>
      </c>
      <c r="R124" s="812"/>
      <c r="S124" s="770">
        <v>0</v>
      </c>
      <c r="T124" s="758">
        <v>0</v>
      </c>
      <c r="U124" s="812"/>
      <c r="V124" s="770">
        <v>0</v>
      </c>
      <c r="W124" s="758">
        <v>0</v>
      </c>
      <c r="X124" s="812"/>
      <c r="Y124" s="770">
        <v>0</v>
      </c>
      <c r="Z124" s="758">
        <v>0</v>
      </c>
      <c r="AA124" s="812"/>
      <c r="AB124" s="770">
        <v>0</v>
      </c>
      <c r="AC124" s="758">
        <v>0</v>
      </c>
      <c r="AD124" s="812"/>
      <c r="AE124" s="770">
        <v>0</v>
      </c>
      <c r="AF124" s="758">
        <v>0</v>
      </c>
      <c r="AG124" s="812"/>
      <c r="AH124" s="770">
        <v>0</v>
      </c>
      <c r="AI124" s="758">
        <v>0</v>
      </c>
      <c r="AJ124" s="812"/>
      <c r="AK124" s="770">
        <v>0</v>
      </c>
      <c r="AL124" s="758">
        <v>0</v>
      </c>
      <c r="AM124" s="812"/>
      <c r="AN124" s="770">
        <v>0</v>
      </c>
      <c r="AO124" s="758">
        <v>0</v>
      </c>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0.7634482862442602</v>
      </c>
      <c r="E125" s="779">
        <v>644567.14999999991</v>
      </c>
      <c r="F125" s="777"/>
      <c r="G125" s="778"/>
      <c r="H125" s="779">
        <v>34355.56</v>
      </c>
      <c r="I125" s="777"/>
      <c r="J125" s="778"/>
      <c r="K125" s="779">
        <v>46535.66</v>
      </c>
      <c r="L125" s="777"/>
      <c r="M125" s="778"/>
      <c r="N125" s="779">
        <v>48922.97</v>
      </c>
      <c r="O125" s="777"/>
      <c r="P125" s="778"/>
      <c r="Q125" s="779">
        <v>52739.389999999898</v>
      </c>
      <c r="R125" s="777" t="s">
        <v>119</v>
      </c>
      <c r="S125" s="778"/>
      <c r="T125" s="779">
        <v>67921.03</v>
      </c>
      <c r="U125" s="777" t="s">
        <v>119</v>
      </c>
      <c r="V125" s="778"/>
      <c r="W125" s="779">
        <v>59451.45</v>
      </c>
      <c r="X125" s="777" t="s">
        <v>119</v>
      </c>
      <c r="Y125" s="778"/>
      <c r="Z125" s="779">
        <v>54672.369999999901</v>
      </c>
      <c r="AA125" s="777" t="s">
        <v>119</v>
      </c>
      <c r="AB125" s="778"/>
      <c r="AC125" s="779">
        <v>41564.160000000003</v>
      </c>
      <c r="AD125" s="777" t="s">
        <v>119</v>
      </c>
      <c r="AE125" s="778"/>
      <c r="AF125" s="779">
        <v>61828.84</v>
      </c>
      <c r="AG125" s="777" t="s">
        <v>119</v>
      </c>
      <c r="AH125" s="778"/>
      <c r="AI125" s="779">
        <v>72996.959999999905</v>
      </c>
      <c r="AJ125" s="777" t="s">
        <v>119</v>
      </c>
      <c r="AK125" s="778"/>
      <c r="AL125" s="779">
        <v>60013.07</v>
      </c>
      <c r="AM125" s="777" t="s">
        <v>119</v>
      </c>
      <c r="AN125" s="778"/>
      <c r="AO125" s="779">
        <v>43565.6899999999</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130571.64000000001</v>
      </c>
      <c r="F126" s="747"/>
      <c r="G126" s="757"/>
      <c r="H126" s="771">
        <v>4705.9799999999996</v>
      </c>
      <c r="I126" s="747"/>
      <c r="J126" s="757"/>
      <c r="K126" s="771">
        <v>13022.98</v>
      </c>
      <c r="L126" s="747"/>
      <c r="M126" s="757"/>
      <c r="N126" s="771">
        <v>15981.84</v>
      </c>
      <c r="O126" s="747"/>
      <c r="P126" s="757"/>
      <c r="Q126" s="771">
        <v>9398.39</v>
      </c>
      <c r="R126" s="747"/>
      <c r="S126" s="757"/>
      <c r="T126" s="771">
        <v>11393</v>
      </c>
      <c r="U126" s="747"/>
      <c r="V126" s="757"/>
      <c r="W126" s="771">
        <v>12701.48</v>
      </c>
      <c r="X126" s="747"/>
      <c r="Y126" s="757"/>
      <c r="Z126" s="771">
        <v>11356.48</v>
      </c>
      <c r="AA126" s="747"/>
      <c r="AB126" s="757"/>
      <c r="AC126" s="771">
        <v>9767.6299999999992</v>
      </c>
      <c r="AD126" s="747"/>
      <c r="AE126" s="757"/>
      <c r="AF126" s="771">
        <v>9656.08</v>
      </c>
      <c r="AG126" s="747"/>
      <c r="AH126" s="757"/>
      <c r="AI126" s="771">
        <v>8898.24</v>
      </c>
      <c r="AJ126" s="747"/>
      <c r="AK126" s="757"/>
      <c r="AL126" s="771">
        <v>12581.58</v>
      </c>
      <c r="AM126" s="747"/>
      <c r="AN126" s="757"/>
      <c r="AO126" s="771">
        <v>11107.96</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22209.699999999997</v>
      </c>
      <c r="F127" s="747"/>
      <c r="G127" s="757"/>
      <c r="H127" s="771">
        <v>1808.02</v>
      </c>
      <c r="I127" s="747"/>
      <c r="J127" s="757"/>
      <c r="K127" s="771">
        <v>1638.43</v>
      </c>
      <c r="L127" s="747"/>
      <c r="M127" s="757"/>
      <c r="N127" s="771">
        <v>1954.17</v>
      </c>
      <c r="O127" s="747"/>
      <c r="P127" s="757"/>
      <c r="Q127" s="771">
        <v>1810.72</v>
      </c>
      <c r="R127" s="747"/>
      <c r="S127" s="757"/>
      <c r="T127" s="771">
        <v>1971.71</v>
      </c>
      <c r="U127" s="747"/>
      <c r="V127" s="757"/>
      <c r="W127" s="771">
        <v>1795.65</v>
      </c>
      <c r="X127" s="747"/>
      <c r="Y127" s="757"/>
      <c r="Z127" s="771">
        <v>1797.53</v>
      </c>
      <c r="AA127" s="747"/>
      <c r="AB127" s="757"/>
      <c r="AC127" s="771">
        <v>1850.37</v>
      </c>
      <c r="AD127" s="747"/>
      <c r="AE127" s="757"/>
      <c r="AF127" s="771">
        <v>1787.27</v>
      </c>
      <c r="AG127" s="747"/>
      <c r="AH127" s="757"/>
      <c r="AI127" s="771">
        <v>1857.41</v>
      </c>
      <c r="AJ127" s="747"/>
      <c r="AK127" s="757"/>
      <c r="AL127" s="771">
        <v>2096.35</v>
      </c>
      <c r="AM127" s="747"/>
      <c r="AN127" s="757"/>
      <c r="AO127" s="771">
        <v>1842.07</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73077.89</v>
      </c>
      <c r="F128" s="780"/>
      <c r="G128" s="781"/>
      <c r="H128" s="783">
        <v>5541.73</v>
      </c>
      <c r="I128" s="780"/>
      <c r="J128" s="781"/>
      <c r="K128" s="783">
        <v>6160.24</v>
      </c>
      <c r="L128" s="780"/>
      <c r="M128" s="781"/>
      <c r="N128" s="783">
        <v>6493.19</v>
      </c>
      <c r="O128" s="780"/>
      <c r="P128" s="781"/>
      <c r="Q128" s="783">
        <v>7173.33</v>
      </c>
      <c r="R128" s="780"/>
      <c r="S128" s="781"/>
      <c r="T128" s="783">
        <v>6473.02</v>
      </c>
      <c r="U128" s="780"/>
      <c r="V128" s="781"/>
      <c r="W128" s="783">
        <v>5382.63</v>
      </c>
      <c r="X128" s="780"/>
      <c r="Y128" s="781"/>
      <c r="Z128" s="783">
        <v>5422.58</v>
      </c>
      <c r="AA128" s="780"/>
      <c r="AB128" s="781"/>
      <c r="AC128" s="783">
        <v>5075.26</v>
      </c>
      <c r="AD128" s="780"/>
      <c r="AE128" s="781"/>
      <c r="AF128" s="783">
        <v>5390.74</v>
      </c>
      <c r="AG128" s="780"/>
      <c r="AH128" s="781"/>
      <c r="AI128" s="783">
        <v>5694.09</v>
      </c>
      <c r="AJ128" s="780"/>
      <c r="AK128" s="781"/>
      <c r="AL128" s="783">
        <v>7887.5</v>
      </c>
      <c r="AM128" s="780"/>
      <c r="AN128" s="781"/>
      <c r="AO128" s="783">
        <v>6383.58</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76747.64</v>
      </c>
      <c r="F133" s="747"/>
      <c r="G133" s="757"/>
      <c r="H133" s="771">
        <v>7350.32</v>
      </c>
      <c r="I133" s="747"/>
      <c r="J133" s="757"/>
      <c r="K133" s="771">
        <v>7392.1</v>
      </c>
      <c r="L133" s="747"/>
      <c r="M133" s="757"/>
      <c r="N133" s="771">
        <v>2150.4899999999998</v>
      </c>
      <c r="O133" s="747"/>
      <c r="P133" s="757"/>
      <c r="Q133" s="771">
        <v>6719.86</v>
      </c>
      <c r="R133" s="747"/>
      <c r="S133" s="757"/>
      <c r="T133" s="771">
        <v>9125.73</v>
      </c>
      <c r="U133" s="747"/>
      <c r="V133" s="757"/>
      <c r="W133" s="771">
        <v>7290.8</v>
      </c>
      <c r="X133" s="747"/>
      <c r="Y133" s="757"/>
      <c r="Z133" s="771">
        <v>7069.51</v>
      </c>
      <c r="AA133" s="747"/>
      <c r="AB133" s="757"/>
      <c r="AC133" s="771">
        <v>6688.13</v>
      </c>
      <c r="AD133" s="747"/>
      <c r="AE133" s="757"/>
      <c r="AF133" s="771">
        <v>7525.08</v>
      </c>
      <c r="AG133" s="747"/>
      <c r="AH133" s="757"/>
      <c r="AI133" s="771">
        <v>6393.9</v>
      </c>
      <c r="AJ133" s="747"/>
      <c r="AK133" s="757"/>
      <c r="AL133" s="771">
        <v>2561.98</v>
      </c>
      <c r="AM133" s="747"/>
      <c r="AN133" s="757"/>
      <c r="AO133" s="771">
        <v>6479.74</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85430.969999999987</v>
      </c>
      <c r="F134" s="780"/>
      <c r="G134" s="781"/>
      <c r="H134" s="783">
        <v>4537.38</v>
      </c>
      <c r="I134" s="780"/>
      <c r="J134" s="781"/>
      <c r="K134" s="783">
        <v>7456.71</v>
      </c>
      <c r="L134" s="780"/>
      <c r="M134" s="781"/>
      <c r="N134" s="783">
        <v>6516.38</v>
      </c>
      <c r="O134" s="780"/>
      <c r="P134" s="781"/>
      <c r="Q134" s="783">
        <v>6401.3</v>
      </c>
      <c r="R134" s="780"/>
      <c r="S134" s="781"/>
      <c r="T134" s="783">
        <v>6559.76</v>
      </c>
      <c r="U134" s="780"/>
      <c r="V134" s="781"/>
      <c r="W134" s="783">
        <v>7365.92</v>
      </c>
      <c r="X134" s="780"/>
      <c r="Y134" s="781"/>
      <c r="Z134" s="783">
        <v>5534.23</v>
      </c>
      <c r="AA134" s="780"/>
      <c r="AB134" s="781"/>
      <c r="AC134" s="783">
        <v>9928.68</v>
      </c>
      <c r="AD134" s="780"/>
      <c r="AE134" s="781"/>
      <c r="AF134" s="783">
        <v>9219.9699999999993</v>
      </c>
      <c r="AG134" s="780"/>
      <c r="AH134" s="781"/>
      <c r="AI134" s="783">
        <v>9019.32</v>
      </c>
      <c r="AJ134" s="780"/>
      <c r="AK134" s="781"/>
      <c r="AL134" s="783">
        <v>7576.78</v>
      </c>
      <c r="AM134" s="780"/>
      <c r="AN134" s="781"/>
      <c r="AO134" s="783">
        <v>5314.54</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22252.829999999998</v>
      </c>
      <c r="F135" s="747"/>
      <c r="G135" s="757"/>
      <c r="H135" s="771">
        <v>879.77</v>
      </c>
      <c r="I135" s="747"/>
      <c r="J135" s="757"/>
      <c r="K135" s="771">
        <v>1052.78</v>
      </c>
      <c r="L135" s="747"/>
      <c r="M135" s="757"/>
      <c r="N135" s="771">
        <v>1261.54</v>
      </c>
      <c r="O135" s="747"/>
      <c r="P135" s="757"/>
      <c r="Q135" s="771">
        <v>999.32999999999902</v>
      </c>
      <c r="R135" s="747"/>
      <c r="S135" s="757"/>
      <c r="T135" s="771">
        <v>1379</v>
      </c>
      <c r="U135" s="747"/>
      <c r="V135" s="757"/>
      <c r="W135" s="771">
        <v>1319.4</v>
      </c>
      <c r="X135" s="747"/>
      <c r="Y135" s="757"/>
      <c r="Z135" s="771">
        <v>1332.74</v>
      </c>
      <c r="AA135" s="747"/>
      <c r="AB135" s="757"/>
      <c r="AC135" s="771">
        <v>5406.85</v>
      </c>
      <c r="AD135" s="747"/>
      <c r="AE135" s="757"/>
      <c r="AF135" s="771">
        <v>4844.01</v>
      </c>
      <c r="AG135" s="747"/>
      <c r="AH135" s="757"/>
      <c r="AI135" s="771">
        <v>4744.38</v>
      </c>
      <c r="AJ135" s="747"/>
      <c r="AK135" s="757"/>
      <c r="AL135" s="771">
        <v>-1684.7</v>
      </c>
      <c r="AM135" s="747"/>
      <c r="AN135" s="757"/>
      <c r="AO135" s="771">
        <v>717.73</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12236.51</v>
      </c>
      <c r="F136" s="747"/>
      <c r="G136" s="757"/>
      <c r="H136" s="771">
        <v>608.91</v>
      </c>
      <c r="I136" s="747"/>
      <c r="J136" s="757"/>
      <c r="K136" s="771">
        <v>637.33000000000004</v>
      </c>
      <c r="L136" s="747"/>
      <c r="M136" s="757"/>
      <c r="N136" s="771">
        <v>1137.53</v>
      </c>
      <c r="O136" s="747"/>
      <c r="P136" s="757"/>
      <c r="Q136" s="771">
        <v>1212.53</v>
      </c>
      <c r="R136" s="747"/>
      <c r="S136" s="757"/>
      <c r="T136" s="771">
        <v>1120.67</v>
      </c>
      <c r="U136" s="747"/>
      <c r="V136" s="757"/>
      <c r="W136" s="771">
        <v>1262.81</v>
      </c>
      <c r="X136" s="747"/>
      <c r="Y136" s="757"/>
      <c r="Z136" s="771">
        <v>970.23</v>
      </c>
      <c r="AA136" s="747"/>
      <c r="AB136" s="757"/>
      <c r="AC136" s="771">
        <v>1127.8900000000001</v>
      </c>
      <c r="AD136" s="747"/>
      <c r="AE136" s="757"/>
      <c r="AF136" s="771">
        <v>808.62</v>
      </c>
      <c r="AG136" s="747"/>
      <c r="AH136" s="757"/>
      <c r="AI136" s="771">
        <v>590.89</v>
      </c>
      <c r="AJ136" s="747"/>
      <c r="AK136" s="757"/>
      <c r="AL136" s="771">
        <v>1318.85</v>
      </c>
      <c r="AM136" s="747"/>
      <c r="AN136" s="757"/>
      <c r="AO136" s="771">
        <v>1440.25</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c r="B137" s="44"/>
      <c r="C137" s="776"/>
      <c r="D137" s="784"/>
      <c r="E137" s="774"/>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0.50045623867524136</v>
      </c>
      <c r="E138" s="779">
        <v>422527.18000000005</v>
      </c>
      <c r="F138" s="777"/>
      <c r="G138" s="778"/>
      <c r="H138" s="779">
        <v>25432.11</v>
      </c>
      <c r="I138" s="777"/>
      <c r="J138" s="778"/>
      <c r="K138" s="779">
        <v>37360.57</v>
      </c>
      <c r="L138" s="777"/>
      <c r="M138" s="778"/>
      <c r="N138" s="779">
        <v>35495.14</v>
      </c>
      <c r="O138" s="777"/>
      <c r="P138" s="778"/>
      <c r="Q138" s="779">
        <v>33715.46</v>
      </c>
      <c r="R138" s="777"/>
      <c r="S138" s="778"/>
      <c r="T138" s="779">
        <v>38022.89</v>
      </c>
      <c r="U138" s="777"/>
      <c r="V138" s="778"/>
      <c r="W138" s="779">
        <v>37118.6899999999</v>
      </c>
      <c r="X138" s="777"/>
      <c r="Y138" s="778"/>
      <c r="Z138" s="779">
        <v>33483.300000000003</v>
      </c>
      <c r="AA138" s="777"/>
      <c r="AB138" s="778"/>
      <c r="AC138" s="779">
        <v>39844.81</v>
      </c>
      <c r="AD138" s="777"/>
      <c r="AE138" s="778"/>
      <c r="AF138" s="779">
        <v>39231.769999999997</v>
      </c>
      <c r="AG138" s="777"/>
      <c r="AH138" s="778"/>
      <c r="AI138" s="779">
        <v>37198.229999999901</v>
      </c>
      <c r="AJ138" s="777"/>
      <c r="AK138" s="778"/>
      <c r="AL138" s="779">
        <v>32338.339999999898</v>
      </c>
      <c r="AM138" s="777"/>
      <c r="AN138" s="778"/>
      <c r="AO138" s="779">
        <v>33285.869999999901</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13482.14</v>
      </c>
      <c r="F141" s="785"/>
      <c r="G141" s="786"/>
      <c r="H141" s="788">
        <v>328.72</v>
      </c>
      <c r="I141" s="785"/>
      <c r="J141" s="786"/>
      <c r="K141" s="788">
        <v>375.25</v>
      </c>
      <c r="L141" s="785"/>
      <c r="M141" s="786"/>
      <c r="N141" s="788">
        <v>652.4</v>
      </c>
      <c r="O141" s="785"/>
      <c r="P141" s="786"/>
      <c r="Q141" s="788">
        <v>625</v>
      </c>
      <c r="R141" s="785"/>
      <c r="S141" s="786"/>
      <c r="T141" s="788">
        <v>829.56</v>
      </c>
      <c r="U141" s="785"/>
      <c r="V141" s="786"/>
      <c r="W141" s="788">
        <v>734.6</v>
      </c>
      <c r="X141" s="785"/>
      <c r="Y141" s="786"/>
      <c r="Z141" s="788">
        <v>673.78</v>
      </c>
      <c r="AA141" s="785"/>
      <c r="AB141" s="786"/>
      <c r="AC141" s="788">
        <v>764.51</v>
      </c>
      <c r="AD141" s="785"/>
      <c r="AE141" s="786"/>
      <c r="AF141" s="788">
        <v>865.26</v>
      </c>
      <c r="AG141" s="785"/>
      <c r="AH141" s="786"/>
      <c r="AI141" s="788">
        <v>1048.82</v>
      </c>
      <c r="AJ141" s="785"/>
      <c r="AK141" s="786"/>
      <c r="AL141" s="788">
        <v>3842.56</v>
      </c>
      <c r="AM141" s="785"/>
      <c r="AN141" s="786"/>
      <c r="AO141" s="788">
        <v>2741.68</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44654.03</v>
      </c>
      <c r="F142" s="747"/>
      <c r="G142" s="757"/>
      <c r="H142" s="771">
        <v>3420.4</v>
      </c>
      <c r="I142" s="747"/>
      <c r="J142" s="757"/>
      <c r="K142" s="771">
        <v>3464.52</v>
      </c>
      <c r="L142" s="747"/>
      <c r="M142" s="757"/>
      <c r="N142" s="771">
        <v>3799.07</v>
      </c>
      <c r="O142" s="747"/>
      <c r="P142" s="757"/>
      <c r="Q142" s="771">
        <v>3778.28</v>
      </c>
      <c r="R142" s="747"/>
      <c r="S142" s="757"/>
      <c r="T142" s="771">
        <v>4193.7</v>
      </c>
      <c r="U142" s="747"/>
      <c r="V142" s="757"/>
      <c r="W142" s="771">
        <v>3748.21</v>
      </c>
      <c r="X142" s="747"/>
      <c r="Y142" s="757"/>
      <c r="Z142" s="771">
        <v>2790.26</v>
      </c>
      <c r="AA142" s="747"/>
      <c r="AB142" s="757"/>
      <c r="AC142" s="771">
        <v>4505.46</v>
      </c>
      <c r="AD142" s="747"/>
      <c r="AE142" s="757"/>
      <c r="AF142" s="771">
        <v>4362.13</v>
      </c>
      <c r="AG142" s="747"/>
      <c r="AH142" s="757"/>
      <c r="AI142" s="771">
        <v>3313.84</v>
      </c>
      <c r="AJ142" s="747"/>
      <c r="AK142" s="757"/>
      <c r="AL142" s="771">
        <v>3362.33</v>
      </c>
      <c r="AM142" s="747"/>
      <c r="AN142" s="757"/>
      <c r="AO142" s="771">
        <v>3915.83</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7395.2400000000007</v>
      </c>
      <c r="F143" s="747"/>
      <c r="G143" s="757"/>
      <c r="H143" s="771">
        <v>740.35</v>
      </c>
      <c r="I143" s="747"/>
      <c r="J143" s="757"/>
      <c r="K143" s="771">
        <v>86.55</v>
      </c>
      <c r="L143" s="747"/>
      <c r="M143" s="757"/>
      <c r="N143" s="771">
        <v>313.27999999999997</v>
      </c>
      <c r="O143" s="747"/>
      <c r="P143" s="757"/>
      <c r="Q143" s="771">
        <v>874.21</v>
      </c>
      <c r="R143" s="747"/>
      <c r="S143" s="757"/>
      <c r="T143" s="771">
        <v>280.52</v>
      </c>
      <c r="U143" s="747"/>
      <c r="V143" s="757"/>
      <c r="W143" s="771">
        <v>686.51</v>
      </c>
      <c r="X143" s="747"/>
      <c r="Y143" s="757"/>
      <c r="Z143" s="771">
        <v>703.86</v>
      </c>
      <c r="AA143" s="747"/>
      <c r="AB143" s="757"/>
      <c r="AC143" s="771">
        <v>767.58</v>
      </c>
      <c r="AD143" s="747"/>
      <c r="AE143" s="757"/>
      <c r="AF143" s="771">
        <v>1206.18</v>
      </c>
      <c r="AG143" s="747"/>
      <c r="AH143" s="757"/>
      <c r="AI143" s="771">
        <v>615.11</v>
      </c>
      <c r="AJ143" s="747"/>
      <c r="AK143" s="757"/>
      <c r="AL143" s="771">
        <v>701.68</v>
      </c>
      <c r="AM143" s="747"/>
      <c r="AN143" s="757"/>
      <c r="AO143" s="771">
        <v>419.41</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19349.86</v>
      </c>
      <c r="F144" s="785"/>
      <c r="G144" s="786"/>
      <c r="H144" s="788">
        <v>1428.07</v>
      </c>
      <c r="I144" s="785"/>
      <c r="J144" s="786"/>
      <c r="K144" s="788">
        <v>1043.29</v>
      </c>
      <c r="L144" s="785"/>
      <c r="M144" s="786"/>
      <c r="N144" s="788">
        <v>964.95</v>
      </c>
      <c r="O144" s="785"/>
      <c r="P144" s="786"/>
      <c r="Q144" s="788">
        <v>1058.31</v>
      </c>
      <c r="R144" s="785"/>
      <c r="S144" s="786"/>
      <c r="T144" s="788">
        <v>1199.7</v>
      </c>
      <c r="U144" s="785"/>
      <c r="V144" s="786"/>
      <c r="W144" s="788">
        <v>1327.35</v>
      </c>
      <c r="X144" s="785"/>
      <c r="Y144" s="786"/>
      <c r="Z144" s="788">
        <v>1512.86</v>
      </c>
      <c r="AA144" s="785"/>
      <c r="AB144" s="786"/>
      <c r="AC144" s="788">
        <v>1883.88</v>
      </c>
      <c r="AD144" s="785"/>
      <c r="AE144" s="786"/>
      <c r="AF144" s="788">
        <v>2301.71</v>
      </c>
      <c r="AG144" s="785"/>
      <c r="AH144" s="786"/>
      <c r="AI144" s="788">
        <v>1598.14</v>
      </c>
      <c r="AJ144" s="785"/>
      <c r="AK144" s="786"/>
      <c r="AL144" s="788">
        <v>2428.6999999999998</v>
      </c>
      <c r="AM144" s="785"/>
      <c r="AN144" s="786"/>
      <c r="AO144" s="788">
        <v>2602.9</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564.54</v>
      </c>
      <c r="F145" s="747"/>
      <c r="G145" s="757"/>
      <c r="H145" s="771">
        <v>104.39</v>
      </c>
      <c r="I145" s="747"/>
      <c r="J145" s="757"/>
      <c r="K145" s="771">
        <v>0</v>
      </c>
      <c r="L145" s="747"/>
      <c r="M145" s="757"/>
      <c r="N145" s="771">
        <v>0</v>
      </c>
      <c r="O145" s="747"/>
      <c r="P145" s="757"/>
      <c r="Q145" s="771">
        <v>13.6</v>
      </c>
      <c r="R145" s="747"/>
      <c r="S145" s="757"/>
      <c r="T145" s="771">
        <v>0</v>
      </c>
      <c r="U145" s="747"/>
      <c r="V145" s="757"/>
      <c r="W145" s="771">
        <v>1.71</v>
      </c>
      <c r="X145" s="747"/>
      <c r="Y145" s="757"/>
      <c r="Z145" s="771">
        <v>259.11</v>
      </c>
      <c r="AA145" s="747"/>
      <c r="AB145" s="757"/>
      <c r="AC145" s="771">
        <v>89.1</v>
      </c>
      <c r="AD145" s="747"/>
      <c r="AE145" s="757"/>
      <c r="AF145" s="771">
        <v>74.7</v>
      </c>
      <c r="AG145" s="747"/>
      <c r="AH145" s="757"/>
      <c r="AI145" s="771">
        <v>0</v>
      </c>
      <c r="AJ145" s="747"/>
      <c r="AK145" s="757"/>
      <c r="AL145" s="771">
        <v>0</v>
      </c>
      <c r="AM145" s="747"/>
      <c r="AN145" s="757"/>
      <c r="AO145" s="771">
        <v>21.93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434.88</v>
      </c>
      <c r="F146" s="747"/>
      <c r="G146" s="757"/>
      <c r="H146" s="771">
        <v>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434.88</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3863.85</v>
      </c>
      <c r="F147" s="747"/>
      <c r="G147" s="757"/>
      <c r="H147" s="771">
        <v>159.46</v>
      </c>
      <c r="I147" s="747"/>
      <c r="J147" s="757"/>
      <c r="K147" s="771">
        <v>499.31</v>
      </c>
      <c r="L147" s="747"/>
      <c r="M147" s="757"/>
      <c r="N147" s="771">
        <v>435.69</v>
      </c>
      <c r="O147" s="747"/>
      <c r="P147" s="757"/>
      <c r="Q147" s="771">
        <v>142.91</v>
      </c>
      <c r="R147" s="747"/>
      <c r="S147" s="757"/>
      <c r="T147" s="771">
        <v>332.05</v>
      </c>
      <c r="U147" s="747"/>
      <c r="V147" s="757"/>
      <c r="W147" s="771">
        <v>145.5</v>
      </c>
      <c r="X147" s="747"/>
      <c r="Y147" s="757"/>
      <c r="Z147" s="771">
        <v>133.69999999999999</v>
      </c>
      <c r="AA147" s="747"/>
      <c r="AB147" s="757"/>
      <c r="AC147" s="771">
        <v>731.53</v>
      </c>
      <c r="AD147" s="747"/>
      <c r="AE147" s="757"/>
      <c r="AF147" s="771">
        <v>235.61</v>
      </c>
      <c r="AG147" s="747"/>
      <c r="AH147" s="757"/>
      <c r="AI147" s="771">
        <v>141.58000000000001</v>
      </c>
      <c r="AJ147" s="747"/>
      <c r="AK147" s="757"/>
      <c r="AL147" s="771">
        <v>473.37</v>
      </c>
      <c r="AM147" s="747"/>
      <c r="AN147" s="757"/>
      <c r="AO147" s="771">
        <v>433.14</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763.03</v>
      </c>
      <c r="F148" s="747"/>
      <c r="G148" s="757"/>
      <c r="H148" s="771">
        <v>64.12</v>
      </c>
      <c r="I148" s="747"/>
      <c r="J148" s="757"/>
      <c r="K148" s="771">
        <v>40.380000000000003</v>
      </c>
      <c r="L148" s="747"/>
      <c r="M148" s="757"/>
      <c r="N148" s="771">
        <v>49.32</v>
      </c>
      <c r="O148" s="747"/>
      <c r="P148" s="757"/>
      <c r="Q148" s="771">
        <v>40.54</v>
      </c>
      <c r="R148" s="747"/>
      <c r="S148" s="757"/>
      <c r="T148" s="771">
        <v>41.59</v>
      </c>
      <c r="U148" s="747"/>
      <c r="V148" s="757"/>
      <c r="W148" s="771">
        <v>43.55</v>
      </c>
      <c r="X148" s="747"/>
      <c r="Y148" s="757"/>
      <c r="Z148" s="771">
        <v>45.06</v>
      </c>
      <c r="AA148" s="747"/>
      <c r="AB148" s="757"/>
      <c r="AC148" s="771">
        <v>75.900000000000006</v>
      </c>
      <c r="AD148" s="747"/>
      <c r="AE148" s="757"/>
      <c r="AF148" s="771">
        <v>84.07</v>
      </c>
      <c r="AG148" s="747"/>
      <c r="AH148" s="757"/>
      <c r="AI148" s="771">
        <v>105.42</v>
      </c>
      <c r="AJ148" s="747"/>
      <c r="AK148" s="757"/>
      <c r="AL148" s="771">
        <v>92.04</v>
      </c>
      <c r="AM148" s="747"/>
      <c r="AN148" s="757"/>
      <c r="AO148" s="771">
        <v>81.040000000000006</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378.12</v>
      </c>
      <c r="F149" s="747"/>
      <c r="G149" s="757"/>
      <c r="H149" s="771">
        <v>79.709999999999994</v>
      </c>
      <c r="I149" s="747"/>
      <c r="J149" s="757"/>
      <c r="K149" s="771">
        <v>105.3</v>
      </c>
      <c r="L149" s="747"/>
      <c r="M149" s="757"/>
      <c r="N149" s="771">
        <v>104.34</v>
      </c>
      <c r="O149" s="747"/>
      <c r="P149" s="757"/>
      <c r="Q149" s="771">
        <v>3.96</v>
      </c>
      <c r="R149" s="747"/>
      <c r="S149" s="757"/>
      <c r="T149" s="771">
        <v>3.96</v>
      </c>
      <c r="U149" s="747"/>
      <c r="V149" s="757"/>
      <c r="W149" s="771">
        <v>12.36</v>
      </c>
      <c r="X149" s="747"/>
      <c r="Y149" s="757"/>
      <c r="Z149" s="771">
        <v>12.36</v>
      </c>
      <c r="AA149" s="747"/>
      <c r="AB149" s="757"/>
      <c r="AC149" s="771">
        <v>3.96</v>
      </c>
      <c r="AD149" s="747"/>
      <c r="AE149" s="757"/>
      <c r="AF149" s="771">
        <v>12.36</v>
      </c>
      <c r="AG149" s="747"/>
      <c r="AH149" s="757"/>
      <c r="AI149" s="771">
        <v>12.36</v>
      </c>
      <c r="AJ149" s="747"/>
      <c r="AK149" s="757"/>
      <c r="AL149" s="771">
        <v>15.09</v>
      </c>
      <c r="AM149" s="747"/>
      <c r="AN149" s="757"/>
      <c r="AO149" s="771">
        <v>12.36</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812.15</v>
      </c>
      <c r="F150" s="747"/>
      <c r="G150" s="757"/>
      <c r="H150" s="771">
        <v>38.72</v>
      </c>
      <c r="I150" s="747"/>
      <c r="J150" s="757"/>
      <c r="K150" s="771">
        <v>77.12</v>
      </c>
      <c r="L150" s="747"/>
      <c r="M150" s="757"/>
      <c r="N150" s="771">
        <v>95.99</v>
      </c>
      <c r="O150" s="747"/>
      <c r="P150" s="757"/>
      <c r="Q150" s="771">
        <v>75.75</v>
      </c>
      <c r="R150" s="747"/>
      <c r="S150" s="757"/>
      <c r="T150" s="771">
        <v>39.49</v>
      </c>
      <c r="U150" s="747"/>
      <c r="V150" s="757"/>
      <c r="W150" s="771">
        <v>46.42</v>
      </c>
      <c r="X150" s="747"/>
      <c r="Y150" s="757"/>
      <c r="Z150" s="771">
        <v>70.680000000000007</v>
      </c>
      <c r="AA150" s="747"/>
      <c r="AB150" s="757"/>
      <c r="AC150" s="771">
        <v>19.670000000000002</v>
      </c>
      <c r="AD150" s="747"/>
      <c r="AE150" s="757"/>
      <c r="AF150" s="771">
        <v>56.99</v>
      </c>
      <c r="AG150" s="747"/>
      <c r="AH150" s="757"/>
      <c r="AI150" s="771">
        <v>87.91</v>
      </c>
      <c r="AJ150" s="747"/>
      <c r="AK150" s="757"/>
      <c r="AL150" s="771">
        <v>167.55</v>
      </c>
      <c r="AM150" s="747"/>
      <c r="AN150" s="757"/>
      <c r="AO150" s="771">
        <v>35.86</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1615.79</v>
      </c>
      <c r="F151" s="747"/>
      <c r="G151" s="757"/>
      <c r="H151" s="771">
        <v>92.28</v>
      </c>
      <c r="I151" s="747"/>
      <c r="J151" s="757"/>
      <c r="K151" s="771">
        <v>38.28</v>
      </c>
      <c r="L151" s="747"/>
      <c r="M151" s="757"/>
      <c r="N151" s="771">
        <v>158.28</v>
      </c>
      <c r="O151" s="747"/>
      <c r="P151" s="757"/>
      <c r="Q151" s="771">
        <v>38.28</v>
      </c>
      <c r="R151" s="747"/>
      <c r="S151" s="757"/>
      <c r="T151" s="771">
        <v>119.28</v>
      </c>
      <c r="U151" s="747"/>
      <c r="V151" s="757"/>
      <c r="W151" s="771">
        <v>38.28</v>
      </c>
      <c r="X151" s="747"/>
      <c r="Y151" s="757"/>
      <c r="Z151" s="771">
        <v>38.28</v>
      </c>
      <c r="AA151" s="747"/>
      <c r="AB151" s="757"/>
      <c r="AC151" s="771">
        <v>38.28</v>
      </c>
      <c r="AD151" s="747"/>
      <c r="AE151" s="757"/>
      <c r="AF151" s="771">
        <v>250.46</v>
      </c>
      <c r="AG151" s="747"/>
      <c r="AH151" s="757"/>
      <c r="AI151" s="771">
        <v>498.39</v>
      </c>
      <c r="AJ151" s="747"/>
      <c r="AK151" s="757"/>
      <c r="AL151" s="771">
        <v>267.42</v>
      </c>
      <c r="AM151" s="747"/>
      <c r="AN151" s="757"/>
      <c r="AO151" s="771">
        <v>38.28</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10690.91</v>
      </c>
      <c r="F152" s="747"/>
      <c r="G152" s="757"/>
      <c r="H152" s="771">
        <v>686.2</v>
      </c>
      <c r="I152" s="747"/>
      <c r="J152" s="757"/>
      <c r="K152" s="771">
        <v>556.61</v>
      </c>
      <c r="L152" s="747"/>
      <c r="M152" s="757"/>
      <c r="N152" s="771">
        <v>729.04</v>
      </c>
      <c r="O152" s="747"/>
      <c r="P152" s="757"/>
      <c r="Q152" s="771">
        <v>950.46</v>
      </c>
      <c r="R152" s="747"/>
      <c r="S152" s="757"/>
      <c r="T152" s="771">
        <v>1070.47</v>
      </c>
      <c r="U152" s="747"/>
      <c r="V152" s="757"/>
      <c r="W152" s="771">
        <v>746.19</v>
      </c>
      <c r="X152" s="747"/>
      <c r="Y152" s="757"/>
      <c r="Z152" s="771">
        <v>855.99</v>
      </c>
      <c r="AA152" s="747"/>
      <c r="AB152" s="757"/>
      <c r="AC152" s="771">
        <v>809.53</v>
      </c>
      <c r="AD152" s="747"/>
      <c r="AE152" s="757"/>
      <c r="AF152" s="771">
        <v>726.02</v>
      </c>
      <c r="AG152" s="747"/>
      <c r="AH152" s="757"/>
      <c r="AI152" s="771">
        <v>1077.6600000000001</v>
      </c>
      <c r="AJ152" s="747"/>
      <c r="AK152" s="757"/>
      <c r="AL152" s="771">
        <v>1548.29</v>
      </c>
      <c r="AM152" s="747"/>
      <c r="AN152" s="757"/>
      <c r="AO152" s="771">
        <v>934.45</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t="s">
        <v>119</v>
      </c>
      <c r="G155" s="784">
        <v>0</v>
      </c>
      <c r="H155" s="758"/>
      <c r="I155" s="776" t="s">
        <v>119</v>
      </c>
      <c r="J155" s="784">
        <v>0</v>
      </c>
      <c r="K155" s="758"/>
      <c r="L155" s="776" t="s">
        <v>119</v>
      </c>
      <c r="M155" s="784">
        <v>0</v>
      </c>
      <c r="N155" s="758"/>
      <c r="O155" s="776" t="s">
        <v>119</v>
      </c>
      <c r="P155" s="784">
        <v>0</v>
      </c>
      <c r="Q155" s="758"/>
      <c r="R155" s="776" t="s">
        <v>119</v>
      </c>
      <c r="S155" s="784">
        <v>0</v>
      </c>
      <c r="T155" s="758"/>
      <c r="U155" s="776" t="s">
        <v>119</v>
      </c>
      <c r="V155" s="784">
        <v>0</v>
      </c>
      <c r="W155" s="758"/>
      <c r="X155" s="776" t="s">
        <v>119</v>
      </c>
      <c r="Y155" s="784">
        <v>0</v>
      </c>
      <c r="Z155" s="758"/>
      <c r="AA155" s="776" t="s">
        <v>119</v>
      </c>
      <c r="AB155" s="784">
        <v>0</v>
      </c>
      <c r="AC155" s="758"/>
      <c r="AD155" s="776" t="s">
        <v>119</v>
      </c>
      <c r="AE155" s="784">
        <v>0</v>
      </c>
      <c r="AF155" s="758"/>
      <c r="AG155" s="776" t="s">
        <v>119</v>
      </c>
      <c r="AH155" s="784">
        <v>0</v>
      </c>
      <c r="AI155" s="758"/>
      <c r="AJ155" s="776" t="s">
        <v>119</v>
      </c>
      <c r="AK155" s="784">
        <v>0</v>
      </c>
      <c r="AL155" s="758"/>
      <c r="AM155" s="776" t="s">
        <v>119</v>
      </c>
      <c r="AN155" s="784">
        <v>0</v>
      </c>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0.12318668089837126</v>
      </c>
      <c r="E156" s="779">
        <v>104004.53999999998</v>
      </c>
      <c r="F156" s="777"/>
      <c r="G156" s="778"/>
      <c r="H156" s="779">
        <v>7142.42</v>
      </c>
      <c r="I156" s="777"/>
      <c r="J156" s="778"/>
      <c r="K156" s="779">
        <v>6286.61</v>
      </c>
      <c r="L156" s="777"/>
      <c r="M156" s="778"/>
      <c r="N156" s="779">
        <v>7302.3599999999897</v>
      </c>
      <c r="O156" s="777"/>
      <c r="P156" s="778"/>
      <c r="Q156" s="779">
        <v>7601.3</v>
      </c>
      <c r="R156" s="777"/>
      <c r="S156" s="778"/>
      <c r="T156" s="779">
        <v>8110.32</v>
      </c>
      <c r="U156" s="777"/>
      <c r="V156" s="778"/>
      <c r="W156" s="779">
        <v>7530.68</v>
      </c>
      <c r="X156" s="777"/>
      <c r="Y156" s="778"/>
      <c r="Z156" s="779">
        <v>7095.9399999999896</v>
      </c>
      <c r="AA156" s="777"/>
      <c r="AB156" s="778"/>
      <c r="AC156" s="779">
        <v>9689.4</v>
      </c>
      <c r="AD156" s="777"/>
      <c r="AE156" s="778"/>
      <c r="AF156" s="779">
        <v>10175.49</v>
      </c>
      <c r="AG156" s="777"/>
      <c r="AH156" s="778"/>
      <c r="AI156" s="779">
        <v>8934.11</v>
      </c>
      <c r="AJ156" s="777"/>
      <c r="AK156" s="778"/>
      <c r="AL156" s="779">
        <v>12899.03</v>
      </c>
      <c r="AM156" s="777"/>
      <c r="AN156" s="778"/>
      <c r="AO156" s="779">
        <v>11236.88</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t="s">
        <v>119</v>
      </c>
      <c r="G157" s="784">
        <v>0</v>
      </c>
      <c r="H157" s="774"/>
      <c r="I157" s="776" t="s">
        <v>119</v>
      </c>
      <c r="J157" s="784">
        <v>0</v>
      </c>
      <c r="K157" s="774"/>
      <c r="L157" s="776" t="s">
        <v>119</v>
      </c>
      <c r="M157" s="784">
        <v>0</v>
      </c>
      <c r="N157" s="774"/>
      <c r="O157" s="776" t="s">
        <v>119</v>
      </c>
      <c r="P157" s="784">
        <v>0</v>
      </c>
      <c r="Q157" s="774"/>
      <c r="R157" s="776" t="s">
        <v>119</v>
      </c>
      <c r="S157" s="784">
        <v>0</v>
      </c>
      <c r="T157" s="774"/>
      <c r="U157" s="776" t="s">
        <v>119</v>
      </c>
      <c r="V157" s="784">
        <v>0</v>
      </c>
      <c r="W157" s="774"/>
      <c r="X157" s="776" t="s">
        <v>119</v>
      </c>
      <c r="Y157" s="784">
        <v>0</v>
      </c>
      <c r="Z157" s="774"/>
      <c r="AA157" s="776" t="s">
        <v>119</v>
      </c>
      <c r="AB157" s="784">
        <v>0</v>
      </c>
      <c r="AC157" s="774"/>
      <c r="AD157" s="776" t="s">
        <v>119</v>
      </c>
      <c r="AE157" s="784">
        <v>0</v>
      </c>
      <c r="AF157" s="774"/>
      <c r="AG157" s="776" t="s">
        <v>119</v>
      </c>
      <c r="AH157" s="784">
        <v>0</v>
      </c>
      <c r="AI157" s="774"/>
      <c r="AJ157" s="776" t="s">
        <v>119</v>
      </c>
      <c r="AK157" s="784">
        <v>0</v>
      </c>
      <c r="AL157" s="774"/>
      <c r="AM157" s="776" t="s">
        <v>119</v>
      </c>
      <c r="AN157" s="784">
        <v>0</v>
      </c>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1.387091205817873</v>
      </c>
      <c r="E158" s="789">
        <v>1171098.8700000001</v>
      </c>
      <c r="F158" s="777"/>
      <c r="G158" s="778"/>
      <c r="H158" s="789">
        <v>66930.09</v>
      </c>
      <c r="I158" s="777"/>
      <c r="J158" s="778"/>
      <c r="K158" s="789">
        <v>90182.840000000011</v>
      </c>
      <c r="L158" s="777"/>
      <c r="M158" s="778"/>
      <c r="N158" s="789">
        <v>91720.469999999987</v>
      </c>
      <c r="O158" s="777"/>
      <c r="P158" s="778"/>
      <c r="Q158" s="789">
        <v>94056.149999999892</v>
      </c>
      <c r="R158" s="777"/>
      <c r="S158" s="778"/>
      <c r="T158" s="789">
        <v>114054.23999999999</v>
      </c>
      <c r="U158" s="777"/>
      <c r="V158" s="778"/>
      <c r="W158" s="789">
        <v>104100.81999999989</v>
      </c>
      <c r="X158" s="777"/>
      <c r="Y158" s="778"/>
      <c r="Z158" s="789">
        <v>95251.609999999884</v>
      </c>
      <c r="AA158" s="777"/>
      <c r="AB158" s="778"/>
      <c r="AC158" s="789">
        <v>91098.37</v>
      </c>
      <c r="AD158" s="777"/>
      <c r="AE158" s="778"/>
      <c r="AF158" s="789">
        <v>111236.09999999999</v>
      </c>
      <c r="AG158" s="777"/>
      <c r="AH158" s="778"/>
      <c r="AI158" s="789">
        <v>119129.2999999998</v>
      </c>
      <c r="AJ158" s="777"/>
      <c r="AK158" s="778"/>
      <c r="AL158" s="789">
        <v>105250.4399999999</v>
      </c>
      <c r="AM158" s="777"/>
      <c r="AN158" s="778"/>
      <c r="AO158" s="789">
        <v>88088.439999999799</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c r="I161" s="747"/>
      <c r="J161" s="757"/>
      <c r="K161" s="771"/>
      <c r="L161" s="747"/>
      <c r="M161" s="757"/>
      <c r="N161" s="771"/>
      <c r="O161" s="747"/>
      <c r="P161" s="757"/>
      <c r="Q161" s="771"/>
      <c r="R161" s="747"/>
      <c r="S161" s="757"/>
      <c r="T161" s="771"/>
      <c r="U161" s="747"/>
      <c r="V161" s="757"/>
      <c r="W161" s="771"/>
      <c r="X161" s="747"/>
      <c r="Y161" s="757"/>
      <c r="Z161" s="771"/>
      <c r="AA161" s="747"/>
      <c r="AB161" s="757"/>
      <c r="AC161" s="771"/>
      <c r="AD161" s="747"/>
      <c r="AE161" s="757"/>
      <c r="AF161" s="771"/>
      <c r="AG161" s="747"/>
      <c r="AH161" s="757"/>
      <c r="AI161" s="771"/>
      <c r="AJ161" s="747"/>
      <c r="AK161" s="757"/>
      <c r="AL161" s="771"/>
      <c r="AM161" s="747"/>
      <c r="AN161" s="757"/>
      <c r="AO161" s="771"/>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129475</v>
      </c>
      <c r="F165" s="776"/>
      <c r="G165" s="784"/>
      <c r="H165" s="775">
        <v>4326</v>
      </c>
      <c r="I165" s="776"/>
      <c r="J165" s="784"/>
      <c r="K165" s="775">
        <v>7365</v>
      </c>
      <c r="L165" s="776"/>
      <c r="M165" s="784"/>
      <c r="N165" s="775">
        <v>6054</v>
      </c>
      <c r="O165" s="776"/>
      <c r="P165" s="784"/>
      <c r="Q165" s="775">
        <v>6428</v>
      </c>
      <c r="R165" s="776"/>
      <c r="S165" s="784"/>
      <c r="T165" s="775">
        <v>10877</v>
      </c>
      <c r="U165" s="776"/>
      <c r="V165" s="784"/>
      <c r="W165" s="775">
        <v>13467</v>
      </c>
      <c r="X165" s="776"/>
      <c r="Y165" s="784"/>
      <c r="Z165" s="775">
        <v>12594</v>
      </c>
      <c r="AA165" s="776"/>
      <c r="AB165" s="784"/>
      <c r="AC165" s="775">
        <v>11112</v>
      </c>
      <c r="AD165" s="776"/>
      <c r="AE165" s="784"/>
      <c r="AF165" s="775">
        <v>13128</v>
      </c>
      <c r="AG165" s="776"/>
      <c r="AH165" s="784"/>
      <c r="AI165" s="775">
        <v>20328</v>
      </c>
      <c r="AJ165" s="776"/>
      <c r="AK165" s="784"/>
      <c r="AL165" s="775">
        <v>15069</v>
      </c>
      <c r="AM165" s="776"/>
      <c r="AN165" s="784"/>
      <c r="AO165" s="775">
        <v>8727</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129475</v>
      </c>
      <c r="F166" s="814"/>
      <c r="G166" s="815"/>
      <c r="H166" s="789">
        <v>4326</v>
      </c>
      <c r="I166" s="814"/>
      <c r="J166" s="815"/>
      <c r="K166" s="789">
        <v>7365</v>
      </c>
      <c r="L166" s="814"/>
      <c r="M166" s="815"/>
      <c r="N166" s="789">
        <v>6054</v>
      </c>
      <c r="O166" s="814"/>
      <c r="P166" s="815"/>
      <c r="Q166" s="789">
        <v>6428</v>
      </c>
      <c r="R166" s="814"/>
      <c r="S166" s="815"/>
      <c r="T166" s="789">
        <v>10877</v>
      </c>
      <c r="U166" s="814"/>
      <c r="V166" s="815"/>
      <c r="W166" s="789">
        <v>13467</v>
      </c>
      <c r="X166" s="814"/>
      <c r="Y166" s="815"/>
      <c r="Z166" s="789">
        <v>12594</v>
      </c>
      <c r="AA166" s="814"/>
      <c r="AB166" s="815"/>
      <c r="AC166" s="789">
        <v>11112</v>
      </c>
      <c r="AD166" s="814"/>
      <c r="AE166" s="815"/>
      <c r="AF166" s="789">
        <v>13128</v>
      </c>
      <c r="AG166" s="814"/>
      <c r="AH166" s="815"/>
      <c r="AI166" s="789">
        <v>20328</v>
      </c>
      <c r="AJ166" s="814"/>
      <c r="AK166" s="815"/>
      <c r="AL166" s="789">
        <v>15069</v>
      </c>
      <c r="AM166" s="814"/>
      <c r="AN166" s="815"/>
      <c r="AO166" s="789">
        <v>8727</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-197339.90000000072</v>
      </c>
      <c r="F168" s="816"/>
      <c r="G168" s="817"/>
      <c r="H168" s="798">
        <v>-44208.340000000127</v>
      </c>
      <c r="I168" s="816"/>
      <c r="J168" s="817"/>
      <c r="K168" s="798">
        <v>-70255.479999999894</v>
      </c>
      <c r="L168" s="816"/>
      <c r="M168" s="817"/>
      <c r="N168" s="798">
        <v>-8515.859999999986</v>
      </c>
      <c r="O168" s="816"/>
      <c r="P168" s="817"/>
      <c r="Q168" s="798">
        <v>-25112.710000000086</v>
      </c>
      <c r="R168" s="816"/>
      <c r="S168" s="817"/>
      <c r="T168" s="798">
        <v>-53693.439999999944</v>
      </c>
      <c r="U168" s="816"/>
      <c r="V168" s="817"/>
      <c r="W168" s="798">
        <v>-5733.980000000025</v>
      </c>
      <c r="X168" s="816"/>
      <c r="Y168" s="817"/>
      <c r="Z168" s="798">
        <v>17385.660000000003</v>
      </c>
      <c r="AA168" s="816"/>
      <c r="AB168" s="817"/>
      <c r="AC168" s="798">
        <v>-28552.829999999965</v>
      </c>
      <c r="AD168" s="816"/>
      <c r="AE168" s="817"/>
      <c r="AF168" s="798">
        <v>5131.5899999998946</v>
      </c>
      <c r="AG168" s="816"/>
      <c r="AH168" s="817"/>
      <c r="AI168" s="798">
        <v>32051.970000000205</v>
      </c>
      <c r="AJ168" s="816"/>
      <c r="AK168" s="817"/>
      <c r="AL168" s="798">
        <v>20856.419999999998</v>
      </c>
      <c r="AM168" s="816"/>
      <c r="AN168" s="817"/>
      <c r="AO168" s="798">
        <v>-36692.8999999999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3935</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5524</v>
      </c>
      <c r="D175" s="770">
        <v>1837538.4399999978</v>
      </c>
      <c r="E175" s="758">
        <v>1465539.3699999969</v>
      </c>
      <c r="F175" s="820">
        <v>315</v>
      </c>
      <c r="G175" s="821">
        <v>102930.01</v>
      </c>
      <c r="H175" s="771">
        <v>79585.179999999993</v>
      </c>
      <c r="I175" s="820">
        <v>225</v>
      </c>
      <c r="J175" s="821">
        <v>73859.0799999999</v>
      </c>
      <c r="K175" s="771">
        <v>57922.9399999999</v>
      </c>
      <c r="L175" s="820">
        <v>364</v>
      </c>
      <c r="M175" s="821">
        <v>114838.39</v>
      </c>
      <c r="N175" s="771">
        <v>90220.62</v>
      </c>
      <c r="O175" s="820">
        <v>724</v>
      </c>
      <c r="P175" s="821">
        <v>213462.55</v>
      </c>
      <c r="Q175" s="771">
        <v>161811.37</v>
      </c>
      <c r="R175" s="820">
        <v>672</v>
      </c>
      <c r="S175" s="821">
        <v>204973.06</v>
      </c>
      <c r="T175" s="771">
        <v>164440.97</v>
      </c>
      <c r="U175" s="820">
        <v>358</v>
      </c>
      <c r="V175" s="821">
        <v>123531.16</v>
      </c>
      <c r="W175" s="771">
        <v>99674.89</v>
      </c>
      <c r="X175" s="820">
        <v>332</v>
      </c>
      <c r="Y175" s="821">
        <v>128489.54</v>
      </c>
      <c r="Z175" s="771">
        <v>104017.37</v>
      </c>
      <c r="AA175" s="820">
        <v>335</v>
      </c>
      <c r="AB175" s="821">
        <v>130604.099999999</v>
      </c>
      <c r="AC175" s="771">
        <v>105174.099999999</v>
      </c>
      <c r="AD175" s="820">
        <v>342</v>
      </c>
      <c r="AE175" s="821">
        <v>125119.18</v>
      </c>
      <c r="AF175" s="771">
        <v>100910.53</v>
      </c>
      <c r="AG175" s="820">
        <v>551</v>
      </c>
      <c r="AH175" s="821">
        <v>205605.56999999899</v>
      </c>
      <c r="AI175" s="771">
        <v>166621.21999999901</v>
      </c>
      <c r="AJ175" s="820">
        <v>965</v>
      </c>
      <c r="AK175" s="821">
        <v>297786.23</v>
      </c>
      <c r="AL175" s="771">
        <v>242253.66999999899</v>
      </c>
      <c r="AM175" s="820">
        <v>341</v>
      </c>
      <c r="AN175" s="821">
        <v>116339.57</v>
      </c>
      <c r="AO175" s="771">
        <v>92906.51</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0.79755576160899178</v>
      </c>
      <c r="F176" s="819"/>
      <c r="G176" s="757"/>
      <c r="H176" s="822">
        <v>0.77319704914047904</v>
      </c>
      <c r="I176" s="819"/>
      <c r="J176" s="757"/>
      <c r="K176" s="822">
        <v>0.78423587187925947</v>
      </c>
      <c r="L176" s="819"/>
      <c r="M176" s="757"/>
      <c r="N176" s="822">
        <v>0.7856311813497211</v>
      </c>
      <c r="O176" s="819"/>
      <c r="P176" s="757"/>
      <c r="Q176" s="822">
        <v>0.75803165473287937</v>
      </c>
      <c r="R176" s="819"/>
      <c r="S176" s="757"/>
      <c r="T176" s="822">
        <v>0.80225650141535676</v>
      </c>
      <c r="U176" s="819"/>
      <c r="V176" s="757"/>
      <c r="W176" s="822">
        <v>0.80688054738577697</v>
      </c>
      <c r="X176" s="819"/>
      <c r="Y176" s="757"/>
      <c r="Z176" s="822">
        <v>0.80953959365096961</v>
      </c>
      <c r="AA176" s="819"/>
      <c r="AB176" s="757"/>
      <c r="AC176" s="822">
        <v>0.80528942046995311</v>
      </c>
      <c r="AD176" s="819"/>
      <c r="AE176" s="757"/>
      <c r="AF176" s="822">
        <v>0.80651527607517892</v>
      </c>
      <c r="AG176" s="819"/>
      <c r="AH176" s="757"/>
      <c r="AI176" s="822">
        <v>0.81039253946281631</v>
      </c>
      <c r="AJ176" s="819"/>
      <c r="AK176" s="757"/>
      <c r="AL176" s="822">
        <v>0.81351535294294508</v>
      </c>
      <c r="AM176" s="819"/>
      <c r="AN176" s="757"/>
      <c r="AO176" s="822">
        <v>0.79858048297754569</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332.64635047067304</v>
      </c>
      <c r="E177" s="825"/>
      <c r="F177" s="823"/>
      <c r="G177" s="824">
        <v>326.76193650793647</v>
      </c>
      <c r="H177" s="825"/>
      <c r="I177" s="823"/>
      <c r="J177" s="824">
        <v>328.26257777777732</v>
      </c>
      <c r="K177" s="825"/>
      <c r="L177" s="823"/>
      <c r="M177" s="824">
        <v>315.49008241758241</v>
      </c>
      <c r="N177" s="825"/>
      <c r="O177" s="823"/>
      <c r="P177" s="824">
        <v>294.83777624309391</v>
      </c>
      <c r="Q177" s="825"/>
      <c r="R177" s="823"/>
      <c r="S177" s="824">
        <v>305.01943452380954</v>
      </c>
      <c r="T177" s="825"/>
      <c r="U177" s="823"/>
      <c r="V177" s="824">
        <v>345.05910614525141</v>
      </c>
      <c r="W177" s="825"/>
      <c r="X177" s="823"/>
      <c r="Y177" s="824">
        <v>387.01668674698794</v>
      </c>
      <c r="Z177" s="825"/>
      <c r="AA177" s="823"/>
      <c r="AB177" s="824">
        <v>389.86298507462391</v>
      </c>
      <c r="AC177" s="825"/>
      <c r="AD177" s="823"/>
      <c r="AE177" s="824">
        <v>365.84555555555556</v>
      </c>
      <c r="AF177" s="825"/>
      <c r="AG177" s="823"/>
      <c r="AH177" s="824">
        <v>373.14985480943557</v>
      </c>
      <c r="AI177" s="825"/>
      <c r="AJ177" s="823"/>
      <c r="AK177" s="824">
        <v>308.58676683937824</v>
      </c>
      <c r="AL177" s="825"/>
      <c r="AM177" s="823"/>
      <c r="AN177" s="824">
        <v>341.1717595307918</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1618</v>
      </c>
      <c r="D178" s="827">
        <v>424139.19000000006</v>
      </c>
      <c r="E178" s="782">
        <v>279554.93999999948</v>
      </c>
      <c r="F178" s="828">
        <v>92</v>
      </c>
      <c r="G178" s="829">
        <v>19158.25</v>
      </c>
      <c r="H178" s="783">
        <v>11239.6</v>
      </c>
      <c r="I178" s="828">
        <v>112</v>
      </c>
      <c r="J178" s="829">
        <v>23094.17</v>
      </c>
      <c r="K178" s="783">
        <v>13946.969999999899</v>
      </c>
      <c r="L178" s="828">
        <v>83</v>
      </c>
      <c r="M178" s="829">
        <v>17291.53</v>
      </c>
      <c r="N178" s="783">
        <v>9841.98</v>
      </c>
      <c r="O178" s="828">
        <v>99</v>
      </c>
      <c r="P178" s="829">
        <v>23543.040000000001</v>
      </c>
      <c r="Q178" s="783">
        <v>13888.54</v>
      </c>
      <c r="R178" s="828">
        <v>121</v>
      </c>
      <c r="S178" s="829">
        <v>35390.559999999998</v>
      </c>
      <c r="T178" s="783">
        <v>23971.609999999899</v>
      </c>
      <c r="U178" s="828">
        <v>97</v>
      </c>
      <c r="V178" s="829">
        <v>37099.949999999997</v>
      </c>
      <c r="W178" s="783">
        <v>25433.3999999999</v>
      </c>
      <c r="X178" s="828">
        <v>127</v>
      </c>
      <c r="Y178" s="829">
        <v>43175.59</v>
      </c>
      <c r="Z178" s="783">
        <v>29221.799999999901</v>
      </c>
      <c r="AA178" s="828">
        <v>177</v>
      </c>
      <c r="AB178" s="829">
        <v>47773.13</v>
      </c>
      <c r="AC178" s="783">
        <v>32481.53</v>
      </c>
      <c r="AD178" s="828">
        <v>196</v>
      </c>
      <c r="AE178" s="829">
        <v>45706.49</v>
      </c>
      <c r="AF178" s="783">
        <v>31099.46</v>
      </c>
      <c r="AG178" s="828">
        <v>182</v>
      </c>
      <c r="AH178" s="829">
        <v>48010.05</v>
      </c>
      <c r="AI178" s="783">
        <v>31856.11</v>
      </c>
      <c r="AJ178" s="828">
        <v>155</v>
      </c>
      <c r="AK178" s="829">
        <v>33909.660000000003</v>
      </c>
      <c r="AL178" s="783">
        <v>21381.65</v>
      </c>
      <c r="AM178" s="828">
        <v>177</v>
      </c>
      <c r="AN178" s="829">
        <v>49986.77</v>
      </c>
      <c r="AO178" s="783">
        <v>35192.289999999899</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0.65911131673543166</v>
      </c>
      <c r="F179" s="747"/>
      <c r="G179" s="757"/>
      <c r="H179" s="822">
        <v>0.58667153837119779</v>
      </c>
      <c r="I179" s="747"/>
      <c r="J179" s="757"/>
      <c r="K179" s="822">
        <v>0.60391735230146393</v>
      </c>
      <c r="L179" s="747"/>
      <c r="M179" s="757"/>
      <c r="N179" s="822">
        <v>0.56917924556126609</v>
      </c>
      <c r="O179" s="747"/>
      <c r="P179" s="757"/>
      <c r="Q179" s="822">
        <v>0.58992126760180508</v>
      </c>
      <c r="R179" s="747"/>
      <c r="S179" s="757"/>
      <c r="T179" s="822">
        <v>0.67734474956033197</v>
      </c>
      <c r="U179" s="747"/>
      <c r="V179" s="757"/>
      <c r="W179" s="822">
        <v>0.68553731204489232</v>
      </c>
      <c r="X179" s="747"/>
      <c r="Y179" s="757"/>
      <c r="Z179" s="822">
        <v>0.67681298622670594</v>
      </c>
      <c r="AA179" s="747"/>
      <c r="AB179" s="757"/>
      <c r="AC179" s="822">
        <v>0.67991211796254503</v>
      </c>
      <c r="AD179" s="747"/>
      <c r="AE179" s="757"/>
      <c r="AF179" s="822">
        <v>0.68041671981375074</v>
      </c>
      <c r="AG179" s="747"/>
      <c r="AH179" s="757"/>
      <c r="AI179" s="822">
        <v>0.66353003173293923</v>
      </c>
      <c r="AJ179" s="747"/>
      <c r="AK179" s="757"/>
      <c r="AL179" s="822">
        <v>0.63054746051715049</v>
      </c>
      <c r="AM179" s="747"/>
      <c r="AN179" s="757"/>
      <c r="AO179" s="822">
        <v>0.70403208689018915</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262.1379419035847</v>
      </c>
      <c r="E180" s="825"/>
      <c r="F180" s="776"/>
      <c r="G180" s="824">
        <v>208.24184782608697</v>
      </c>
      <c r="H180" s="825"/>
      <c r="I180" s="776"/>
      <c r="J180" s="824">
        <v>206.19794642857141</v>
      </c>
      <c r="K180" s="825"/>
      <c r="L180" s="776"/>
      <c r="M180" s="824">
        <v>208.33168674698794</v>
      </c>
      <c r="N180" s="825"/>
      <c r="O180" s="776"/>
      <c r="P180" s="824">
        <v>237.80848484848485</v>
      </c>
      <c r="Q180" s="825"/>
      <c r="R180" s="776"/>
      <c r="S180" s="824">
        <v>292.48396694214875</v>
      </c>
      <c r="T180" s="825"/>
      <c r="U180" s="776"/>
      <c r="V180" s="824">
        <v>382.47371134020614</v>
      </c>
      <c r="W180" s="825"/>
      <c r="X180" s="776"/>
      <c r="Y180" s="824">
        <v>339.96527559055113</v>
      </c>
      <c r="Z180" s="825"/>
      <c r="AA180" s="776"/>
      <c r="AB180" s="824">
        <v>269.90468926553672</v>
      </c>
      <c r="AC180" s="825"/>
      <c r="AD180" s="776"/>
      <c r="AE180" s="824">
        <v>233.19637755102039</v>
      </c>
      <c r="AF180" s="825"/>
      <c r="AG180" s="776"/>
      <c r="AH180" s="824">
        <v>263.79148351648354</v>
      </c>
      <c r="AI180" s="825"/>
      <c r="AJ180" s="776"/>
      <c r="AK180" s="824">
        <v>218.77200000000002</v>
      </c>
      <c r="AL180" s="825"/>
      <c r="AM180" s="776"/>
      <c r="AN180" s="824">
        <v>282.41112994350283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2892</v>
      </c>
      <c r="D181" s="770">
        <v>887241.35999999987</v>
      </c>
      <c r="E181" s="758">
        <v>671228.47999999952</v>
      </c>
      <c r="F181" s="820">
        <v>251</v>
      </c>
      <c r="G181" s="821">
        <v>78307.44</v>
      </c>
      <c r="H181" s="771">
        <v>56822.06</v>
      </c>
      <c r="I181" s="820">
        <v>247</v>
      </c>
      <c r="J181" s="821">
        <v>78247.239999999903</v>
      </c>
      <c r="K181" s="771">
        <v>57870.859999999899</v>
      </c>
      <c r="L181" s="820">
        <v>256</v>
      </c>
      <c r="M181" s="821">
        <v>70263.11</v>
      </c>
      <c r="N181" s="771">
        <v>53052.27</v>
      </c>
      <c r="O181" s="820">
        <v>232</v>
      </c>
      <c r="P181" s="821">
        <v>68576.179999999993</v>
      </c>
      <c r="Q181" s="771">
        <v>51620.109999999899</v>
      </c>
      <c r="R181" s="820">
        <v>264</v>
      </c>
      <c r="S181" s="821">
        <v>81821.48</v>
      </c>
      <c r="T181" s="771">
        <v>63739.039999999899</v>
      </c>
      <c r="U181" s="820">
        <v>209</v>
      </c>
      <c r="V181" s="821">
        <v>53994.7</v>
      </c>
      <c r="W181" s="771">
        <v>41482.18</v>
      </c>
      <c r="X181" s="820">
        <v>231</v>
      </c>
      <c r="Y181" s="821">
        <v>78242.6899999999</v>
      </c>
      <c r="Z181" s="771">
        <v>57114.249999999898</v>
      </c>
      <c r="AA181" s="820">
        <v>267</v>
      </c>
      <c r="AB181" s="821">
        <v>87515.68</v>
      </c>
      <c r="AC181" s="771">
        <v>65368.46</v>
      </c>
      <c r="AD181" s="820">
        <v>202</v>
      </c>
      <c r="AE181" s="821">
        <v>69014.759999999995</v>
      </c>
      <c r="AF181" s="771">
        <v>52711.83</v>
      </c>
      <c r="AG181" s="820">
        <v>214</v>
      </c>
      <c r="AH181" s="821">
        <v>69981.490000000005</v>
      </c>
      <c r="AI181" s="771">
        <v>54592.47</v>
      </c>
      <c r="AJ181" s="820">
        <v>285</v>
      </c>
      <c r="AK181" s="821">
        <v>85492.57</v>
      </c>
      <c r="AL181" s="771">
        <v>65968.960000000006</v>
      </c>
      <c r="AM181" s="820">
        <v>234</v>
      </c>
      <c r="AN181" s="821">
        <v>65784.02</v>
      </c>
      <c r="AO181" s="771">
        <v>50885.99</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0.7565342535429137</v>
      </c>
      <c r="F182" s="819"/>
      <c r="G182" s="830"/>
      <c r="H182" s="822">
        <v>0.7256278586044953</v>
      </c>
      <c r="I182" s="819"/>
      <c r="J182" s="830"/>
      <c r="K182" s="822">
        <v>0.73958979256009505</v>
      </c>
      <c r="L182" s="819"/>
      <c r="M182" s="830"/>
      <c r="N182" s="822">
        <v>0.75505154838719768</v>
      </c>
      <c r="O182" s="819"/>
      <c r="P182" s="830"/>
      <c r="Q182" s="822">
        <v>0.75274111214710271</v>
      </c>
      <c r="R182" s="819"/>
      <c r="S182" s="830"/>
      <c r="T182" s="822">
        <v>0.77900130870279904</v>
      </c>
      <c r="U182" s="819"/>
      <c r="V182" s="830"/>
      <c r="W182" s="822">
        <v>0.76826392219977147</v>
      </c>
      <c r="X182" s="819"/>
      <c r="Y182" s="830"/>
      <c r="Z182" s="822">
        <v>0.72996276073841493</v>
      </c>
      <c r="AA182" s="819"/>
      <c r="AB182" s="830"/>
      <c r="AC182" s="822">
        <v>0.7469342636656654</v>
      </c>
      <c r="AD182" s="819"/>
      <c r="AE182" s="830"/>
      <c r="AF182" s="822">
        <v>0.76377618352943644</v>
      </c>
      <c r="AG182" s="819"/>
      <c r="AH182" s="830"/>
      <c r="AI182" s="822">
        <v>0.78009870895861178</v>
      </c>
      <c r="AJ182" s="819"/>
      <c r="AK182" s="830"/>
      <c r="AL182" s="822">
        <v>0.77163383905759297</v>
      </c>
      <c r="AM182" s="819"/>
      <c r="AN182" s="830"/>
      <c r="AO182" s="822">
        <v>0.77353117063992127</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306.79161825726135</v>
      </c>
      <c r="E183" s="822"/>
      <c r="F183" s="819"/>
      <c r="G183" s="831">
        <v>311.98183266932273</v>
      </c>
      <c r="H183" s="822"/>
      <c r="I183" s="819"/>
      <c r="J183" s="831">
        <v>316.79044534412918</v>
      </c>
      <c r="K183" s="822"/>
      <c r="L183" s="819"/>
      <c r="M183" s="831">
        <v>274.4652734375</v>
      </c>
      <c r="N183" s="822"/>
      <c r="O183" s="819"/>
      <c r="P183" s="831">
        <v>295.58698275862065</v>
      </c>
      <c r="Q183" s="822"/>
      <c r="R183" s="819"/>
      <c r="S183" s="831">
        <v>309.92984848484849</v>
      </c>
      <c r="T183" s="822"/>
      <c r="U183" s="819"/>
      <c r="V183" s="831">
        <v>258.34784688995217</v>
      </c>
      <c r="W183" s="822"/>
      <c r="X183" s="819"/>
      <c r="Y183" s="831">
        <v>338.71294372294329</v>
      </c>
      <c r="Z183" s="822"/>
      <c r="AA183" s="819"/>
      <c r="AB183" s="831">
        <v>327.77408239700372</v>
      </c>
      <c r="AC183" s="822"/>
      <c r="AD183" s="819"/>
      <c r="AE183" s="831">
        <v>341.65722772277223</v>
      </c>
      <c r="AF183" s="822"/>
      <c r="AG183" s="819"/>
      <c r="AH183" s="831">
        <v>327.01630841121499</v>
      </c>
      <c r="AI183" s="822"/>
      <c r="AJ183" s="819"/>
      <c r="AK183" s="831">
        <v>299.97392982456142</v>
      </c>
      <c r="AL183" s="822"/>
      <c r="AM183" s="819"/>
      <c r="AN183" s="831">
        <v>281.12829059829062</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156423.36000000002</v>
      </c>
      <c r="E184" s="782">
        <v>116846.5599999999</v>
      </c>
      <c r="F184" s="828">
        <v>0</v>
      </c>
      <c r="G184" s="829">
        <v>5936.97</v>
      </c>
      <c r="H184" s="783">
        <v>4072.98</v>
      </c>
      <c r="I184" s="828">
        <v>0</v>
      </c>
      <c r="J184" s="829">
        <v>5587.2</v>
      </c>
      <c r="K184" s="783">
        <v>4448.12</v>
      </c>
      <c r="L184" s="828">
        <v>0</v>
      </c>
      <c r="M184" s="829">
        <v>13853.15</v>
      </c>
      <c r="N184" s="783">
        <v>10899.9</v>
      </c>
      <c r="O184" s="828">
        <v>0</v>
      </c>
      <c r="P184" s="829">
        <v>31075.29</v>
      </c>
      <c r="Q184" s="783">
        <v>24885.31</v>
      </c>
      <c r="R184" s="828">
        <v>0</v>
      </c>
      <c r="S184" s="829">
        <v>27206.52</v>
      </c>
      <c r="T184" s="783">
        <v>17588.689999999999</v>
      </c>
      <c r="U184" s="828">
        <v>0</v>
      </c>
      <c r="V184" s="829">
        <v>9321.7000000000007</v>
      </c>
      <c r="W184" s="783">
        <v>6357.61</v>
      </c>
      <c r="X184" s="828">
        <v>0</v>
      </c>
      <c r="Y184" s="829">
        <v>9823.68</v>
      </c>
      <c r="Z184" s="783">
        <v>8360.49</v>
      </c>
      <c r="AA184" s="828">
        <v>0</v>
      </c>
      <c r="AB184" s="829">
        <v>7368.85</v>
      </c>
      <c r="AC184" s="783">
        <v>5618.83</v>
      </c>
      <c r="AD184" s="828">
        <v>0</v>
      </c>
      <c r="AE184" s="829">
        <v>6965.21</v>
      </c>
      <c r="AF184" s="783">
        <v>5414.05</v>
      </c>
      <c r="AG184" s="828">
        <v>0</v>
      </c>
      <c r="AH184" s="829">
        <v>11017.45</v>
      </c>
      <c r="AI184" s="783">
        <v>8671.2099999999991</v>
      </c>
      <c r="AJ184" s="828">
        <v>0</v>
      </c>
      <c r="AK184" s="829">
        <v>21385.759999999998</v>
      </c>
      <c r="AL184" s="783">
        <v>15606.1699999999</v>
      </c>
      <c r="AM184" s="828">
        <v>0</v>
      </c>
      <c r="AN184" s="829">
        <v>6881.58</v>
      </c>
      <c r="AO184" s="783">
        <v>4923.2</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0.74698919649852735</v>
      </c>
      <c r="F185" s="832"/>
      <c r="G185" s="833">
        <v>0</v>
      </c>
      <c r="H185" s="822">
        <v>0.68603681676006445</v>
      </c>
      <c r="I185" s="832"/>
      <c r="J185" s="833">
        <v>0</v>
      </c>
      <c r="K185" s="822">
        <v>0.79612686139748001</v>
      </c>
      <c r="L185" s="832"/>
      <c r="M185" s="833">
        <v>0</v>
      </c>
      <c r="N185" s="822">
        <v>0.78681743863309062</v>
      </c>
      <c r="O185" s="832"/>
      <c r="P185" s="833">
        <v>0</v>
      </c>
      <c r="Q185" s="822">
        <v>0.80080700775439262</v>
      </c>
      <c r="R185" s="832"/>
      <c r="S185" s="833">
        <v>0</v>
      </c>
      <c r="T185" s="822">
        <v>0.64648804771797341</v>
      </c>
      <c r="U185" s="832"/>
      <c r="V185" s="833">
        <v>0</v>
      </c>
      <c r="W185" s="822">
        <v>0.68202259244558383</v>
      </c>
      <c r="X185" s="832"/>
      <c r="Y185" s="833">
        <v>0</v>
      </c>
      <c r="Z185" s="822">
        <v>0.85105479820189578</v>
      </c>
      <c r="AA185" s="832"/>
      <c r="AB185" s="833">
        <v>0</v>
      </c>
      <c r="AC185" s="822">
        <v>0.7625111109603262</v>
      </c>
      <c r="AD185" s="832"/>
      <c r="AE185" s="833">
        <v>0</v>
      </c>
      <c r="AF185" s="822">
        <v>0.77729888976786055</v>
      </c>
      <c r="AG185" s="832"/>
      <c r="AH185" s="833">
        <v>0</v>
      </c>
      <c r="AI185" s="822">
        <v>0.78704328134005586</v>
      </c>
      <c r="AJ185" s="832"/>
      <c r="AK185" s="833">
        <v>0</v>
      </c>
      <c r="AL185" s="822">
        <v>0.72974586827870047</v>
      </c>
      <c r="AM185" s="832"/>
      <c r="AN185" s="833">
        <v>0</v>
      </c>
      <c r="AO185" s="822">
        <v>0.71541709898017602</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-32078.400000000001</v>
      </c>
      <c r="F187" s="820"/>
      <c r="G187" s="821"/>
      <c r="H187" s="771">
        <v>-4825.76</v>
      </c>
      <c r="I187" s="820"/>
      <c r="J187" s="821"/>
      <c r="K187" s="771">
        <v>-1515.7</v>
      </c>
      <c r="L187" s="820"/>
      <c r="M187" s="821"/>
      <c r="N187" s="771">
        <v>-5865.37</v>
      </c>
      <c r="O187" s="820"/>
      <c r="P187" s="821"/>
      <c r="Q187" s="771">
        <v>-3446.54</v>
      </c>
      <c r="R187" s="820"/>
      <c r="S187" s="821"/>
      <c r="T187" s="771">
        <v>-2141.9499999999998</v>
      </c>
      <c r="U187" s="820"/>
      <c r="V187" s="821"/>
      <c r="W187" s="771">
        <v>-2037.51</v>
      </c>
      <c r="X187" s="820"/>
      <c r="Y187" s="821"/>
      <c r="Z187" s="771">
        <v>-1170.23</v>
      </c>
      <c r="AA187" s="820"/>
      <c r="AB187" s="821"/>
      <c r="AC187" s="771">
        <v>-2029.15</v>
      </c>
      <c r="AD187" s="820"/>
      <c r="AE187" s="821"/>
      <c r="AF187" s="771">
        <v>-1692.49</v>
      </c>
      <c r="AG187" s="820"/>
      <c r="AH187" s="821"/>
      <c r="AI187" s="771">
        <v>-3610.57</v>
      </c>
      <c r="AJ187" s="820"/>
      <c r="AK187" s="821"/>
      <c r="AL187" s="771">
        <v>-1452.11</v>
      </c>
      <c r="AM187" s="820"/>
      <c r="AN187" s="821"/>
      <c r="AO187" s="771">
        <v>-2291.02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10034</v>
      </c>
      <c r="D188" s="837">
        <v>3305342.3499999978</v>
      </c>
      <c r="E188" s="838">
        <v>2501090.949999996</v>
      </c>
      <c r="F188" s="836">
        <v>658</v>
      </c>
      <c r="G188" s="837">
        <v>206332.67</v>
      </c>
      <c r="H188" s="838">
        <v>146894.06</v>
      </c>
      <c r="I188" s="836">
        <v>584</v>
      </c>
      <c r="J188" s="837">
        <v>180787.68999999983</v>
      </c>
      <c r="K188" s="838">
        <v>132673.18999999968</v>
      </c>
      <c r="L188" s="836">
        <v>703</v>
      </c>
      <c r="M188" s="837">
        <v>216246.17999999996</v>
      </c>
      <c r="N188" s="838">
        <v>158149.4</v>
      </c>
      <c r="O188" s="836">
        <v>1055</v>
      </c>
      <c r="P188" s="837">
        <v>336657.06</v>
      </c>
      <c r="Q188" s="838">
        <v>248758.78999999989</v>
      </c>
      <c r="R188" s="836">
        <v>1057</v>
      </c>
      <c r="S188" s="837">
        <v>349391.62</v>
      </c>
      <c r="T188" s="838">
        <v>267598.35999999975</v>
      </c>
      <c r="U188" s="836">
        <v>664</v>
      </c>
      <c r="V188" s="837">
        <v>223947.51</v>
      </c>
      <c r="W188" s="838">
        <v>170910.56999999986</v>
      </c>
      <c r="X188" s="836">
        <v>690</v>
      </c>
      <c r="Y188" s="837">
        <v>259731.49999999988</v>
      </c>
      <c r="Z188" s="838">
        <v>197543.67999999979</v>
      </c>
      <c r="AA188" s="836">
        <v>779</v>
      </c>
      <c r="AB188" s="837">
        <v>273261.75999999896</v>
      </c>
      <c r="AC188" s="838">
        <v>206613.769999999</v>
      </c>
      <c r="AD188" s="836">
        <v>740</v>
      </c>
      <c r="AE188" s="837">
        <v>246805.63999999998</v>
      </c>
      <c r="AF188" s="838">
        <v>188443.38</v>
      </c>
      <c r="AG188" s="836">
        <v>947</v>
      </c>
      <c r="AH188" s="837">
        <v>334614.55999999901</v>
      </c>
      <c r="AI188" s="838">
        <v>258130.43999999901</v>
      </c>
      <c r="AJ188" s="836">
        <v>1405</v>
      </c>
      <c r="AK188" s="837">
        <v>438574.22000000003</v>
      </c>
      <c r="AL188" s="838">
        <v>343758.33999999898</v>
      </c>
      <c r="AM188" s="836">
        <v>752</v>
      </c>
      <c r="AN188" s="837">
        <v>238991.93999999997</v>
      </c>
      <c r="AO188" s="838">
        <v>181616.96999999991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329.41422662945962</v>
      </c>
      <c r="E189" s="841">
        <v>0.75668136161447774</v>
      </c>
      <c r="F189" s="839"/>
      <c r="G189" s="840">
        <v>313.57548632218845</v>
      </c>
      <c r="H189" s="841">
        <v>0.71192826613449045</v>
      </c>
      <c r="I189" s="839"/>
      <c r="J189" s="840">
        <v>309.56796232876684</v>
      </c>
      <c r="K189" s="841">
        <v>0.73386185751916966</v>
      </c>
      <c r="L189" s="839"/>
      <c r="M189" s="840">
        <v>307.60480796586057</v>
      </c>
      <c r="N189" s="841">
        <v>0.73133962412653963</v>
      </c>
      <c r="O189" s="839"/>
      <c r="P189" s="840">
        <v>319.10621800947865</v>
      </c>
      <c r="Q189" s="841">
        <v>0.73890857954976463</v>
      </c>
      <c r="R189" s="839"/>
      <c r="S189" s="840">
        <v>330.55025543992429</v>
      </c>
      <c r="T189" s="841">
        <v>0.76589804872824296</v>
      </c>
      <c r="U189" s="839"/>
      <c r="V189" s="840">
        <v>337.27034638554215</v>
      </c>
      <c r="W189" s="841">
        <v>0.76317245054432559</v>
      </c>
      <c r="X189" s="839"/>
      <c r="Y189" s="840">
        <v>376.42246376811579</v>
      </c>
      <c r="Z189" s="841">
        <v>0.76056881818339273</v>
      </c>
      <c r="AA189" s="839"/>
      <c r="AB189" s="840">
        <v>350.78531450577532</v>
      </c>
      <c r="AC189" s="841">
        <v>0.75610202466675103</v>
      </c>
      <c r="AD189" s="839"/>
      <c r="AE189" s="840">
        <v>333.52113513513513</v>
      </c>
      <c r="AF189" s="841">
        <v>0.763529472016928</v>
      </c>
      <c r="AG189" s="839"/>
      <c r="AH189" s="840">
        <v>353.34166842660932</v>
      </c>
      <c r="AI189" s="841">
        <v>0.77142620452618615</v>
      </c>
      <c r="AJ189" s="839"/>
      <c r="AK189" s="840">
        <v>312.15246975088968</v>
      </c>
      <c r="AL189" s="841">
        <v>0.78380881575756767</v>
      </c>
      <c r="AM189" s="839"/>
      <c r="AN189" s="840">
        <v>317.8084308510638</v>
      </c>
      <c r="AO189" s="841">
        <v>0.75992926790752835</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193449.25999999998</v>
      </c>
      <c r="E191" s="758">
        <v>36117.039999999964</v>
      </c>
      <c r="F191" s="820">
        <v>0</v>
      </c>
      <c r="G191" s="843">
        <v>7853.74</v>
      </c>
      <c r="H191" s="771">
        <v>-11.929999999999801</v>
      </c>
      <c r="I191" s="820">
        <v>0</v>
      </c>
      <c r="J191" s="843">
        <v>19315.099999999999</v>
      </c>
      <c r="K191" s="771">
        <v>1457.99999999999</v>
      </c>
      <c r="L191" s="820">
        <v>0</v>
      </c>
      <c r="M191" s="843">
        <v>12081.49</v>
      </c>
      <c r="N191" s="771">
        <v>2541.5299999999902</v>
      </c>
      <c r="O191" s="820">
        <v>0</v>
      </c>
      <c r="P191" s="843">
        <v>21634.6</v>
      </c>
      <c r="Q191" s="771">
        <v>4449.5999999999904</v>
      </c>
      <c r="R191" s="820">
        <v>0</v>
      </c>
      <c r="S191" s="843">
        <v>31330.82</v>
      </c>
      <c r="T191" s="771">
        <v>5707.76</v>
      </c>
      <c r="U191" s="820">
        <v>0</v>
      </c>
      <c r="V191" s="843">
        <v>13598.58</v>
      </c>
      <c r="W191" s="771">
        <v>2943</v>
      </c>
      <c r="X191" s="820">
        <v>0</v>
      </c>
      <c r="Y191" s="843">
        <v>23727.87</v>
      </c>
      <c r="Z191" s="771">
        <v>4904.13</v>
      </c>
      <c r="AA191" s="820">
        <v>0</v>
      </c>
      <c r="AB191" s="843">
        <v>9800.6899999999896</v>
      </c>
      <c r="AC191" s="771">
        <v>3056.6899999999901</v>
      </c>
      <c r="AD191" s="820">
        <v>0</v>
      </c>
      <c r="AE191" s="843">
        <v>13150.5</v>
      </c>
      <c r="AF191" s="771">
        <v>2801.5</v>
      </c>
      <c r="AG191" s="820">
        <v>0</v>
      </c>
      <c r="AH191" s="843">
        <v>17305.09</v>
      </c>
      <c r="AI191" s="771">
        <v>3325.7</v>
      </c>
      <c r="AJ191" s="820">
        <v>0</v>
      </c>
      <c r="AK191" s="843">
        <v>13819.95</v>
      </c>
      <c r="AL191" s="771">
        <v>2749.25</v>
      </c>
      <c r="AM191" s="820">
        <v>0</v>
      </c>
      <c r="AN191" s="843">
        <v>9830.83</v>
      </c>
      <c r="AO191" s="771">
        <v>2191.81</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0.1867003264835439</v>
      </c>
      <c r="F192" s="819"/>
      <c r="G192" s="830"/>
      <c r="H192" s="822">
        <v>-1.5190215107706393E-3</v>
      </c>
      <c r="I192" s="819"/>
      <c r="J192" s="830"/>
      <c r="K192" s="822">
        <v>7.5484983251445245E-2</v>
      </c>
      <c r="L192" s="819"/>
      <c r="M192" s="830"/>
      <c r="N192" s="822">
        <v>0.21036560887771213</v>
      </c>
      <c r="O192" s="819"/>
      <c r="P192" s="830"/>
      <c r="Q192" s="822">
        <v>0.20567054625461023</v>
      </c>
      <c r="R192" s="819"/>
      <c r="S192" s="830"/>
      <c r="T192" s="822">
        <v>0.18217716612587861</v>
      </c>
      <c r="U192" s="819"/>
      <c r="V192" s="830"/>
      <c r="W192" s="822">
        <v>0.21641965558168574</v>
      </c>
      <c r="X192" s="819"/>
      <c r="Y192" s="830"/>
      <c r="Z192" s="822">
        <v>0.20668226857277963</v>
      </c>
      <c r="AA192" s="819"/>
      <c r="AB192" s="830"/>
      <c r="AC192" s="822">
        <v>0.31188518359421563</v>
      </c>
      <c r="AD192" s="819"/>
      <c r="AE192" s="830"/>
      <c r="AF192" s="822">
        <v>0.21303372495342382</v>
      </c>
      <c r="AG192" s="819"/>
      <c r="AH192" s="830"/>
      <c r="AI192" s="822">
        <v>0.19218045095402567</v>
      </c>
      <c r="AJ192" s="819"/>
      <c r="AK192" s="830"/>
      <c r="AL192" s="822">
        <v>0.1989334259530606</v>
      </c>
      <c r="AM192" s="819"/>
      <c r="AN192" s="830"/>
      <c r="AO192" s="822">
        <v>0.22295269066803108</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102829.93999999999</v>
      </c>
      <c r="E194" s="782">
        <v>73354.189999999988</v>
      </c>
      <c r="F194" s="828">
        <v>0</v>
      </c>
      <c r="G194" s="845">
        <v>6185.25</v>
      </c>
      <c r="H194" s="783">
        <v>4595.3999999999996</v>
      </c>
      <c r="I194" s="828">
        <v>0</v>
      </c>
      <c r="J194" s="845">
        <v>5335.05</v>
      </c>
      <c r="K194" s="783">
        <v>3998.39</v>
      </c>
      <c r="L194" s="828">
        <v>0</v>
      </c>
      <c r="M194" s="845">
        <v>5051</v>
      </c>
      <c r="N194" s="783">
        <v>3763.74</v>
      </c>
      <c r="O194" s="828">
        <v>0</v>
      </c>
      <c r="P194" s="845">
        <v>8946.15</v>
      </c>
      <c r="Q194" s="783">
        <v>7163.79</v>
      </c>
      <c r="R194" s="828">
        <v>0</v>
      </c>
      <c r="S194" s="845">
        <v>15244.65</v>
      </c>
      <c r="T194" s="783">
        <v>8650.89</v>
      </c>
      <c r="U194" s="828">
        <v>0</v>
      </c>
      <c r="V194" s="845">
        <v>13554.44</v>
      </c>
      <c r="W194" s="783">
        <v>10654.58</v>
      </c>
      <c r="X194" s="828">
        <v>0</v>
      </c>
      <c r="Y194" s="845">
        <v>6372.75</v>
      </c>
      <c r="Z194" s="783">
        <v>4669.1499999999996</v>
      </c>
      <c r="AA194" s="828">
        <v>0</v>
      </c>
      <c r="AB194" s="845">
        <v>8945.9</v>
      </c>
      <c r="AC194" s="783">
        <v>7361.42</v>
      </c>
      <c r="AD194" s="828">
        <v>0</v>
      </c>
      <c r="AE194" s="845">
        <v>8854.9500000000007</v>
      </c>
      <c r="AF194" s="783">
        <v>5544.1</v>
      </c>
      <c r="AG194" s="828">
        <v>0</v>
      </c>
      <c r="AH194" s="845">
        <v>10359.950000000001</v>
      </c>
      <c r="AI194" s="783">
        <v>7081.85</v>
      </c>
      <c r="AJ194" s="828">
        <v>0</v>
      </c>
      <c r="AK194" s="845">
        <v>8099.9</v>
      </c>
      <c r="AL194" s="783">
        <v>5810.28999999999</v>
      </c>
      <c r="AM194" s="828">
        <v>0</v>
      </c>
      <c r="AN194" s="845">
        <v>5879.95</v>
      </c>
      <c r="AO194" s="783">
        <v>4060.59</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0.71335439853412341</v>
      </c>
      <c r="F195" s="823"/>
      <c r="G195" s="846"/>
      <c r="H195" s="825">
        <v>0.74296107675518364</v>
      </c>
      <c r="I195" s="823"/>
      <c r="J195" s="846"/>
      <c r="K195" s="825">
        <v>0.74945689356238454</v>
      </c>
      <c r="L195" s="823"/>
      <c r="M195" s="846"/>
      <c r="N195" s="825">
        <v>0.74514749554543647</v>
      </c>
      <c r="O195" s="823"/>
      <c r="P195" s="846"/>
      <c r="Q195" s="825">
        <v>0.80076792810315056</v>
      </c>
      <c r="R195" s="823"/>
      <c r="S195" s="846"/>
      <c r="T195" s="825">
        <v>0.56747055524397083</v>
      </c>
      <c r="U195" s="823"/>
      <c r="V195" s="846"/>
      <c r="W195" s="825">
        <v>0.78605829528921889</v>
      </c>
      <c r="X195" s="823"/>
      <c r="Y195" s="846"/>
      <c r="Z195" s="825">
        <v>0.73267427719587297</v>
      </c>
      <c r="AA195" s="823"/>
      <c r="AB195" s="846"/>
      <c r="AC195" s="825">
        <v>0.82288199063258038</v>
      </c>
      <c r="AD195" s="823"/>
      <c r="AE195" s="846"/>
      <c r="AF195" s="825">
        <v>0.62610178487738499</v>
      </c>
      <c r="AG195" s="823"/>
      <c r="AH195" s="846"/>
      <c r="AI195" s="825">
        <v>0.68357955395537617</v>
      </c>
      <c r="AJ195" s="823"/>
      <c r="AK195" s="846"/>
      <c r="AL195" s="825">
        <v>0.71732860899517159</v>
      </c>
      <c r="AM195" s="823"/>
      <c r="AN195" s="846"/>
      <c r="AO195" s="825">
        <v>0.69058240291158945</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3601621.5499999975</v>
      </c>
      <c r="E197" s="761">
        <v>2610562.179999996</v>
      </c>
      <c r="F197" s="759"/>
      <c r="G197" s="850">
        <v>220371.66</v>
      </c>
      <c r="H197" s="761">
        <v>151477.53</v>
      </c>
      <c r="I197" s="759"/>
      <c r="J197" s="850">
        <v>205437.83999999982</v>
      </c>
      <c r="K197" s="761">
        <v>138129.5799999997</v>
      </c>
      <c r="L197" s="759"/>
      <c r="M197" s="850">
        <v>233378.66999999995</v>
      </c>
      <c r="N197" s="761">
        <v>164454.66999999998</v>
      </c>
      <c r="O197" s="759"/>
      <c r="P197" s="850">
        <v>367237.81</v>
      </c>
      <c r="Q197" s="761">
        <v>260372.17999999988</v>
      </c>
      <c r="R197" s="759"/>
      <c r="S197" s="850">
        <v>395967.09</v>
      </c>
      <c r="T197" s="761">
        <v>281957.00999999978</v>
      </c>
      <c r="U197" s="759"/>
      <c r="V197" s="850">
        <v>251100.53</v>
      </c>
      <c r="W197" s="761">
        <v>184508.14999999985</v>
      </c>
      <c r="X197" s="759"/>
      <c r="Y197" s="850">
        <v>289832.11999999988</v>
      </c>
      <c r="Z197" s="761">
        <v>207116.95999999979</v>
      </c>
      <c r="AA197" s="759"/>
      <c r="AB197" s="850">
        <v>292008.34999999899</v>
      </c>
      <c r="AC197" s="761">
        <v>217031.87999999902</v>
      </c>
      <c r="AD197" s="759"/>
      <c r="AE197" s="850">
        <v>268811.08999999997</v>
      </c>
      <c r="AF197" s="761">
        <v>196788.98</v>
      </c>
      <c r="AG197" s="759"/>
      <c r="AH197" s="850">
        <v>362279.59999999905</v>
      </c>
      <c r="AI197" s="761">
        <v>268537.989999999</v>
      </c>
      <c r="AJ197" s="759"/>
      <c r="AK197" s="850">
        <v>460494.07000000007</v>
      </c>
      <c r="AL197" s="761">
        <v>352317.87999999896</v>
      </c>
      <c r="AM197" s="759"/>
      <c r="AN197" s="850">
        <v>254702.71999999997</v>
      </c>
      <c r="AO197" s="761">
        <v>187869.36999999991</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0.72482967567761192</v>
      </c>
      <c r="F198" s="762"/>
      <c r="G198" s="763"/>
      <c r="H198" s="851">
        <v>0.68737300431462012</v>
      </c>
      <c r="I198" s="762"/>
      <c r="J198" s="763"/>
      <c r="K198" s="851">
        <v>0.67236678500903146</v>
      </c>
      <c r="L198" s="762"/>
      <c r="M198" s="763"/>
      <c r="N198" s="851">
        <v>0.7046688114213695</v>
      </c>
      <c r="O198" s="762"/>
      <c r="P198" s="763"/>
      <c r="Q198" s="851">
        <v>0.70900155950717569</v>
      </c>
      <c r="R198" s="762"/>
      <c r="S198" s="763"/>
      <c r="T198" s="851">
        <v>0.71207182899972765</v>
      </c>
      <c r="U198" s="762"/>
      <c r="V198" s="763"/>
      <c r="W198" s="851">
        <v>0.73479793133053062</v>
      </c>
      <c r="X198" s="762"/>
      <c r="Y198" s="763"/>
      <c r="Z198" s="851">
        <v>0.71461009911530815</v>
      </c>
      <c r="AA198" s="762"/>
      <c r="AB198" s="763"/>
      <c r="AC198" s="851">
        <v>0.74323860944387299</v>
      </c>
      <c r="AD198" s="762"/>
      <c r="AE198" s="763"/>
      <c r="AF198" s="851">
        <v>0.73207165671624652</v>
      </c>
      <c r="AG198" s="762"/>
      <c r="AH198" s="763"/>
      <c r="AI198" s="851">
        <v>0.74124513221279842</v>
      </c>
      <c r="AJ198" s="762"/>
      <c r="AK198" s="763"/>
      <c r="AL198" s="851">
        <v>0.76508668178940697</v>
      </c>
      <c r="AM198" s="762"/>
      <c r="AN198" s="763"/>
      <c r="AO198" s="851">
        <v>0.73760252736994691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175057.22</v>
      </c>
      <c r="F201" s="747"/>
      <c r="G201" s="757"/>
      <c r="H201" s="771">
        <v>16964.599999999999</v>
      </c>
      <c r="I201" s="747"/>
      <c r="J201" s="757"/>
      <c r="K201" s="771">
        <v>15728.24</v>
      </c>
      <c r="L201" s="747"/>
      <c r="M201" s="757"/>
      <c r="N201" s="771">
        <v>13303.65</v>
      </c>
      <c r="O201" s="747"/>
      <c r="P201" s="757"/>
      <c r="Q201" s="771">
        <v>9367.5400000000009</v>
      </c>
      <c r="R201" s="747"/>
      <c r="S201" s="757"/>
      <c r="T201" s="771">
        <v>12594.56</v>
      </c>
      <c r="U201" s="747"/>
      <c r="V201" s="757"/>
      <c r="W201" s="771">
        <v>20405.86</v>
      </c>
      <c r="X201" s="747"/>
      <c r="Y201" s="757"/>
      <c r="Z201" s="771">
        <v>11834.22</v>
      </c>
      <c r="AA201" s="747"/>
      <c r="AB201" s="757"/>
      <c r="AC201" s="771">
        <v>16240.75</v>
      </c>
      <c r="AD201" s="747"/>
      <c r="AE201" s="757"/>
      <c r="AF201" s="771">
        <v>13328.14</v>
      </c>
      <c r="AG201" s="747"/>
      <c r="AH201" s="757"/>
      <c r="AI201" s="771">
        <v>11607.04</v>
      </c>
      <c r="AJ201" s="747"/>
      <c r="AK201" s="757"/>
      <c r="AL201" s="771">
        <v>15943.06</v>
      </c>
      <c r="AM201" s="747"/>
      <c r="AN201" s="757"/>
      <c r="AO201" s="771">
        <v>17739.560000000001</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94910.8</v>
      </c>
      <c r="F202" s="747"/>
      <c r="G202" s="757"/>
      <c r="H202" s="771">
        <v>6399.76</v>
      </c>
      <c r="I202" s="747"/>
      <c r="J202" s="757"/>
      <c r="K202" s="771">
        <v>7380.73</v>
      </c>
      <c r="L202" s="747"/>
      <c r="M202" s="757"/>
      <c r="N202" s="771">
        <v>8424.61</v>
      </c>
      <c r="O202" s="747"/>
      <c r="P202" s="757"/>
      <c r="Q202" s="771">
        <v>8321.08</v>
      </c>
      <c r="R202" s="747"/>
      <c r="S202" s="757"/>
      <c r="T202" s="771">
        <v>9538.9</v>
      </c>
      <c r="U202" s="747"/>
      <c r="V202" s="757"/>
      <c r="W202" s="771">
        <v>4908.57</v>
      </c>
      <c r="X202" s="747"/>
      <c r="Y202" s="757"/>
      <c r="Z202" s="771">
        <v>8017.89</v>
      </c>
      <c r="AA202" s="747"/>
      <c r="AB202" s="757"/>
      <c r="AC202" s="771">
        <v>9477.77</v>
      </c>
      <c r="AD202" s="747"/>
      <c r="AE202" s="757"/>
      <c r="AF202" s="771">
        <v>8059.49</v>
      </c>
      <c r="AG202" s="747"/>
      <c r="AH202" s="757"/>
      <c r="AI202" s="771">
        <v>7162.09</v>
      </c>
      <c r="AJ202" s="747"/>
      <c r="AK202" s="757"/>
      <c r="AL202" s="771">
        <v>9929.2199999999993</v>
      </c>
      <c r="AM202" s="747"/>
      <c r="AN202" s="757"/>
      <c r="AO202" s="771">
        <v>7290.69</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216486.09</v>
      </c>
      <c r="F203" s="780"/>
      <c r="G203" s="781"/>
      <c r="H203" s="783">
        <v>13927.95</v>
      </c>
      <c r="I203" s="780"/>
      <c r="J203" s="781"/>
      <c r="K203" s="783">
        <v>15210.72</v>
      </c>
      <c r="L203" s="780"/>
      <c r="M203" s="781"/>
      <c r="N203" s="783">
        <v>12271.11</v>
      </c>
      <c r="O203" s="780"/>
      <c r="P203" s="781"/>
      <c r="Q203" s="783">
        <v>20320.27</v>
      </c>
      <c r="R203" s="780"/>
      <c r="S203" s="781"/>
      <c r="T203" s="783">
        <v>22496.47</v>
      </c>
      <c r="U203" s="780"/>
      <c r="V203" s="781"/>
      <c r="W203" s="783">
        <v>17670.88</v>
      </c>
      <c r="X203" s="780"/>
      <c r="Y203" s="781"/>
      <c r="Z203" s="783">
        <v>13760.3</v>
      </c>
      <c r="AA203" s="780"/>
      <c r="AB203" s="781"/>
      <c r="AC203" s="783">
        <v>18669.21</v>
      </c>
      <c r="AD203" s="780"/>
      <c r="AE203" s="781"/>
      <c r="AF203" s="783">
        <v>14095.06</v>
      </c>
      <c r="AG203" s="780"/>
      <c r="AH203" s="781"/>
      <c r="AI203" s="783">
        <v>17131.98</v>
      </c>
      <c r="AJ203" s="780"/>
      <c r="AK203" s="781"/>
      <c r="AL203" s="783">
        <v>39324.92</v>
      </c>
      <c r="AM203" s="780"/>
      <c r="AN203" s="781"/>
      <c r="AO203" s="783">
        <v>11607.22</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347460.79000000004</v>
      </c>
      <c r="F204" s="747"/>
      <c r="G204" s="757"/>
      <c r="H204" s="771">
        <v>23791.11</v>
      </c>
      <c r="I204" s="747"/>
      <c r="J204" s="757"/>
      <c r="K204" s="771">
        <v>19491.41</v>
      </c>
      <c r="L204" s="747"/>
      <c r="M204" s="757"/>
      <c r="N204" s="771">
        <v>20859.560000000001</v>
      </c>
      <c r="O204" s="747"/>
      <c r="P204" s="757"/>
      <c r="Q204" s="771">
        <v>43948.92</v>
      </c>
      <c r="R204" s="747"/>
      <c r="S204" s="757"/>
      <c r="T204" s="771">
        <v>37414.44</v>
      </c>
      <c r="U204" s="747"/>
      <c r="V204" s="757"/>
      <c r="W204" s="771">
        <v>26139.54</v>
      </c>
      <c r="X204" s="747"/>
      <c r="Y204" s="757"/>
      <c r="Z204" s="771">
        <v>25122.77</v>
      </c>
      <c r="AA204" s="747"/>
      <c r="AB204" s="757"/>
      <c r="AC204" s="771">
        <v>32163.66</v>
      </c>
      <c r="AD204" s="747"/>
      <c r="AE204" s="757"/>
      <c r="AF204" s="771">
        <v>29269.82</v>
      </c>
      <c r="AG204" s="747"/>
      <c r="AH204" s="757"/>
      <c r="AI204" s="771">
        <v>29317.81</v>
      </c>
      <c r="AJ204" s="747"/>
      <c r="AK204" s="757"/>
      <c r="AL204" s="771">
        <v>39319.25</v>
      </c>
      <c r="AM204" s="747"/>
      <c r="AN204" s="757"/>
      <c r="AO204" s="771">
        <v>20622.5</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c r="I205" s="747"/>
      <c r="J205" s="757"/>
      <c r="K205" s="771"/>
      <c r="L205" s="747"/>
      <c r="M205" s="757"/>
      <c r="N205" s="771"/>
      <c r="O205" s="747"/>
      <c r="P205" s="757"/>
      <c r="Q205" s="771"/>
      <c r="R205" s="747"/>
      <c r="S205" s="757"/>
      <c r="T205" s="771"/>
      <c r="U205" s="747"/>
      <c r="V205" s="757"/>
      <c r="W205" s="771"/>
      <c r="X205" s="747"/>
      <c r="Y205" s="757"/>
      <c r="Z205" s="771"/>
      <c r="AA205" s="747"/>
      <c r="AB205" s="757"/>
      <c r="AC205" s="771"/>
      <c r="AD205" s="747"/>
      <c r="AE205" s="757"/>
      <c r="AF205" s="771"/>
      <c r="AG205" s="747"/>
      <c r="AH205" s="757"/>
      <c r="AI205" s="771"/>
      <c r="AJ205" s="747"/>
      <c r="AK205" s="757"/>
      <c r="AL205" s="771"/>
      <c r="AM205" s="747"/>
      <c r="AN205" s="757"/>
      <c r="AO205" s="771"/>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198730.3</v>
      </c>
      <c r="F208" s="747"/>
      <c r="G208" s="757"/>
      <c r="H208" s="771">
        <v>12658.39</v>
      </c>
      <c r="I208" s="747"/>
      <c r="J208" s="757"/>
      <c r="K208" s="771">
        <v>12362.3</v>
      </c>
      <c r="L208" s="747"/>
      <c r="M208" s="757"/>
      <c r="N208" s="771">
        <v>18254.18</v>
      </c>
      <c r="O208" s="747"/>
      <c r="P208" s="757"/>
      <c r="Q208" s="771">
        <v>20422.400000000001</v>
      </c>
      <c r="R208" s="747"/>
      <c r="S208" s="757"/>
      <c r="T208" s="771">
        <v>25829.47</v>
      </c>
      <c r="U208" s="747"/>
      <c r="V208" s="757"/>
      <c r="W208" s="771">
        <v>13952.53</v>
      </c>
      <c r="X208" s="747"/>
      <c r="Y208" s="757"/>
      <c r="Z208" s="771">
        <v>16428.09</v>
      </c>
      <c r="AA208" s="747"/>
      <c r="AB208" s="757"/>
      <c r="AC208" s="771">
        <v>16486.689999999999</v>
      </c>
      <c r="AD208" s="747"/>
      <c r="AE208" s="757"/>
      <c r="AF208" s="771">
        <v>14344.17</v>
      </c>
      <c r="AG208" s="747"/>
      <c r="AH208" s="757"/>
      <c r="AI208" s="771">
        <v>20132.439999999999</v>
      </c>
      <c r="AJ208" s="747"/>
      <c r="AK208" s="757"/>
      <c r="AL208" s="771">
        <v>13701.18</v>
      </c>
      <c r="AM208" s="747"/>
      <c r="AN208" s="757"/>
      <c r="AO208" s="771">
        <v>14158.46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254898.48</v>
      </c>
      <c r="F209" s="780"/>
      <c r="G209" s="781"/>
      <c r="H209" s="783">
        <v>22420.61</v>
      </c>
      <c r="I209" s="780"/>
      <c r="J209" s="781"/>
      <c r="K209" s="783">
        <v>19960.57</v>
      </c>
      <c r="L209" s="780"/>
      <c r="M209" s="781"/>
      <c r="N209" s="783">
        <v>22659.759999999998</v>
      </c>
      <c r="O209" s="780"/>
      <c r="P209" s="781"/>
      <c r="Q209" s="783">
        <v>22408.44</v>
      </c>
      <c r="R209" s="780"/>
      <c r="S209" s="781"/>
      <c r="T209" s="783">
        <v>26288.97</v>
      </c>
      <c r="U209" s="780"/>
      <c r="V209" s="781"/>
      <c r="W209" s="783">
        <v>20166.349999999999</v>
      </c>
      <c r="X209" s="780"/>
      <c r="Y209" s="781"/>
      <c r="Z209" s="783">
        <v>19262.22</v>
      </c>
      <c r="AA209" s="780"/>
      <c r="AB209" s="781"/>
      <c r="AC209" s="783">
        <v>20021.5</v>
      </c>
      <c r="AD209" s="780"/>
      <c r="AE209" s="781"/>
      <c r="AF209" s="783">
        <v>17350.25</v>
      </c>
      <c r="AG209" s="780"/>
      <c r="AH209" s="781"/>
      <c r="AI209" s="783">
        <v>24038.78</v>
      </c>
      <c r="AJ209" s="780"/>
      <c r="AK209" s="781"/>
      <c r="AL209" s="783">
        <v>23066.27</v>
      </c>
      <c r="AM209" s="780"/>
      <c r="AN209" s="781"/>
      <c r="AO209" s="783">
        <v>17254.759999999998</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129390.36999999998</v>
      </c>
      <c r="F210" s="747"/>
      <c r="G210" s="757"/>
      <c r="H210" s="771">
        <v>11364.32</v>
      </c>
      <c r="I210" s="747"/>
      <c r="J210" s="757"/>
      <c r="K210" s="771">
        <v>11195.25</v>
      </c>
      <c r="L210" s="747"/>
      <c r="M210" s="757"/>
      <c r="N210" s="771">
        <v>11881.89</v>
      </c>
      <c r="O210" s="747"/>
      <c r="P210" s="757"/>
      <c r="Q210" s="771">
        <v>11244.77</v>
      </c>
      <c r="R210" s="747"/>
      <c r="S210" s="757"/>
      <c r="T210" s="771">
        <v>13775.33</v>
      </c>
      <c r="U210" s="747"/>
      <c r="V210" s="757"/>
      <c r="W210" s="771">
        <v>10992.65</v>
      </c>
      <c r="X210" s="747"/>
      <c r="Y210" s="757"/>
      <c r="Z210" s="771">
        <v>11101.57</v>
      </c>
      <c r="AA210" s="747"/>
      <c r="AB210" s="757"/>
      <c r="AC210" s="771">
        <v>10473.36</v>
      </c>
      <c r="AD210" s="747"/>
      <c r="AE210" s="757"/>
      <c r="AF210" s="771">
        <v>9093.58</v>
      </c>
      <c r="AG210" s="747"/>
      <c r="AH210" s="757"/>
      <c r="AI210" s="771">
        <v>11427.23</v>
      </c>
      <c r="AJ210" s="747"/>
      <c r="AK210" s="757"/>
      <c r="AL210" s="771">
        <v>7838.14</v>
      </c>
      <c r="AM210" s="747"/>
      <c r="AN210" s="757"/>
      <c r="AO210" s="771">
        <v>9002.2799999999897</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49504.6</v>
      </c>
      <c r="F211" s="747"/>
      <c r="G211" s="757"/>
      <c r="H211" s="771">
        <v>3797.34</v>
      </c>
      <c r="I211" s="747"/>
      <c r="J211" s="757"/>
      <c r="K211" s="771">
        <v>3520.04</v>
      </c>
      <c r="L211" s="747"/>
      <c r="M211" s="757"/>
      <c r="N211" s="771">
        <v>4247.74</v>
      </c>
      <c r="O211" s="747"/>
      <c r="P211" s="757"/>
      <c r="Q211" s="771">
        <v>4370.88</v>
      </c>
      <c r="R211" s="747"/>
      <c r="S211" s="757"/>
      <c r="T211" s="771">
        <v>4899.96</v>
      </c>
      <c r="U211" s="747"/>
      <c r="V211" s="757"/>
      <c r="W211" s="771">
        <v>3657.36</v>
      </c>
      <c r="X211" s="747"/>
      <c r="Y211" s="757"/>
      <c r="Z211" s="771">
        <v>3705.23</v>
      </c>
      <c r="AA211" s="747"/>
      <c r="AB211" s="757"/>
      <c r="AC211" s="771">
        <v>5322.67</v>
      </c>
      <c r="AD211" s="747"/>
      <c r="AE211" s="757"/>
      <c r="AF211" s="771">
        <v>3769.52</v>
      </c>
      <c r="AG211" s="747"/>
      <c r="AH211" s="757"/>
      <c r="AI211" s="771">
        <v>3283.11</v>
      </c>
      <c r="AJ211" s="747"/>
      <c r="AK211" s="757"/>
      <c r="AL211" s="771">
        <v>4479.8999999999996</v>
      </c>
      <c r="AM211" s="747"/>
      <c r="AN211" s="757"/>
      <c r="AO211" s="771">
        <v>4450.8500000000004</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0.56173289463651166</v>
      </c>
      <c r="E213" s="779">
        <v>1466438.65</v>
      </c>
      <c r="F213" s="777" t="s">
        <v>175</v>
      </c>
      <c r="G213" s="778">
        <v>0</v>
      </c>
      <c r="H213" s="779">
        <v>111324.07999999999</v>
      </c>
      <c r="I213" s="777" t="s">
        <v>175</v>
      </c>
      <c r="J213" s="778">
        <v>0</v>
      </c>
      <c r="K213" s="779">
        <v>104849.26</v>
      </c>
      <c r="L213" s="777" t="s">
        <v>175</v>
      </c>
      <c r="M213" s="778">
        <v>0</v>
      </c>
      <c r="N213" s="779">
        <v>111902.50000000001</v>
      </c>
      <c r="O213" s="777" t="s">
        <v>175</v>
      </c>
      <c r="P213" s="778">
        <v>0</v>
      </c>
      <c r="Q213" s="779">
        <v>140404.29999999999</v>
      </c>
      <c r="R213" s="777" t="s">
        <v>175</v>
      </c>
      <c r="S213" s="778">
        <v>0</v>
      </c>
      <c r="T213" s="779">
        <v>152838.09999999998</v>
      </c>
      <c r="U213" s="777" t="s">
        <v>175</v>
      </c>
      <c r="V213" s="778">
        <v>0</v>
      </c>
      <c r="W213" s="779">
        <v>117893.74</v>
      </c>
      <c r="X213" s="777" t="s">
        <v>175</v>
      </c>
      <c r="Y213" s="778">
        <v>0</v>
      </c>
      <c r="Z213" s="779">
        <v>109232.29</v>
      </c>
      <c r="AA213" s="777" t="s">
        <v>175</v>
      </c>
      <c r="AB213" s="778">
        <v>0</v>
      </c>
      <c r="AC213" s="779">
        <v>128855.61</v>
      </c>
      <c r="AD213" s="777" t="s">
        <v>175</v>
      </c>
      <c r="AE213" s="778">
        <v>0</v>
      </c>
      <c r="AF213" s="779">
        <v>109310.03</v>
      </c>
      <c r="AG213" s="777" t="s">
        <v>175</v>
      </c>
      <c r="AH213" s="778">
        <v>0</v>
      </c>
      <c r="AI213" s="779">
        <v>124100.48</v>
      </c>
      <c r="AJ213" s="777" t="s">
        <v>175</v>
      </c>
      <c r="AK213" s="778">
        <v>0</v>
      </c>
      <c r="AL213" s="779">
        <v>153601.94</v>
      </c>
      <c r="AM213" s="777" t="s">
        <v>175</v>
      </c>
      <c r="AN213" s="778">
        <v>0</v>
      </c>
      <c r="AO213" s="779">
        <v>102126.31999999998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134306.92000000001</v>
      </c>
      <c r="F214" s="747"/>
      <c r="G214" s="757"/>
      <c r="H214" s="771">
        <v>11707.26</v>
      </c>
      <c r="I214" s="747"/>
      <c r="J214" s="757"/>
      <c r="K214" s="771">
        <v>12169.45</v>
      </c>
      <c r="L214" s="747"/>
      <c r="M214" s="757"/>
      <c r="N214" s="771">
        <v>12896.45</v>
      </c>
      <c r="O214" s="747"/>
      <c r="P214" s="757"/>
      <c r="Q214" s="771">
        <v>11076.5</v>
      </c>
      <c r="R214" s="747"/>
      <c r="S214" s="757"/>
      <c r="T214" s="771">
        <v>11204.43</v>
      </c>
      <c r="U214" s="747"/>
      <c r="V214" s="757"/>
      <c r="W214" s="771">
        <v>10541.92</v>
      </c>
      <c r="X214" s="747"/>
      <c r="Y214" s="757"/>
      <c r="Z214" s="771">
        <v>10338.09</v>
      </c>
      <c r="AA214" s="747"/>
      <c r="AB214" s="757"/>
      <c r="AC214" s="771">
        <v>9968.24</v>
      </c>
      <c r="AD214" s="747"/>
      <c r="AE214" s="757"/>
      <c r="AF214" s="771">
        <v>9535.4699999999993</v>
      </c>
      <c r="AG214" s="747"/>
      <c r="AH214" s="757"/>
      <c r="AI214" s="771">
        <v>11040.12</v>
      </c>
      <c r="AJ214" s="747"/>
      <c r="AK214" s="757"/>
      <c r="AL214" s="771">
        <v>11959.51</v>
      </c>
      <c r="AM214" s="747"/>
      <c r="AN214" s="757"/>
      <c r="AO214" s="771">
        <v>11869.48</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55524.079999999965</v>
      </c>
      <c r="F215" s="747"/>
      <c r="G215" s="757"/>
      <c r="H215" s="771">
        <v>2429.98</v>
      </c>
      <c r="I215" s="747"/>
      <c r="J215" s="757"/>
      <c r="K215" s="771">
        <v>2002.19</v>
      </c>
      <c r="L215" s="747"/>
      <c r="M215" s="757"/>
      <c r="N215" s="771">
        <v>1419.78</v>
      </c>
      <c r="O215" s="747"/>
      <c r="P215" s="757"/>
      <c r="Q215" s="771">
        <v>2109.5300000000002</v>
      </c>
      <c r="R215" s="747"/>
      <c r="S215" s="757"/>
      <c r="T215" s="771">
        <v>3949.0899999999901</v>
      </c>
      <c r="U215" s="747"/>
      <c r="V215" s="757"/>
      <c r="W215" s="771">
        <v>4649.09</v>
      </c>
      <c r="X215" s="747"/>
      <c r="Y215" s="757"/>
      <c r="Z215" s="771">
        <v>5248.5599999999904</v>
      </c>
      <c r="AA215" s="747"/>
      <c r="AB215" s="757"/>
      <c r="AC215" s="771">
        <v>3011.12</v>
      </c>
      <c r="AD215" s="747"/>
      <c r="AE215" s="757"/>
      <c r="AF215" s="771">
        <v>4245.42</v>
      </c>
      <c r="AG215" s="747"/>
      <c r="AH215" s="757"/>
      <c r="AI215" s="771">
        <v>7866.81</v>
      </c>
      <c r="AJ215" s="747"/>
      <c r="AK215" s="757"/>
      <c r="AL215" s="771">
        <v>5712.0099999999902</v>
      </c>
      <c r="AM215" s="747"/>
      <c r="AN215" s="757"/>
      <c r="AO215" s="771">
        <v>12880.5</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142202.62</v>
      </c>
      <c r="F216" s="776"/>
      <c r="G216" s="784"/>
      <c r="H216" s="775">
        <v>10769.71</v>
      </c>
      <c r="I216" s="776"/>
      <c r="J216" s="784"/>
      <c r="K216" s="775">
        <v>8609.4599999999991</v>
      </c>
      <c r="L216" s="776"/>
      <c r="M216" s="784"/>
      <c r="N216" s="775">
        <v>9376.94</v>
      </c>
      <c r="O216" s="776"/>
      <c r="P216" s="784"/>
      <c r="Q216" s="775">
        <v>13105.98</v>
      </c>
      <c r="R216" s="776"/>
      <c r="S216" s="784"/>
      <c r="T216" s="775">
        <v>12840.8</v>
      </c>
      <c r="U216" s="776"/>
      <c r="V216" s="784"/>
      <c r="W216" s="775">
        <v>13065.45</v>
      </c>
      <c r="X216" s="776"/>
      <c r="Y216" s="784"/>
      <c r="Z216" s="775">
        <v>15457.5</v>
      </c>
      <c r="AA216" s="776"/>
      <c r="AB216" s="784"/>
      <c r="AC216" s="775">
        <v>14407.05</v>
      </c>
      <c r="AD216" s="776"/>
      <c r="AE216" s="784"/>
      <c r="AF216" s="775">
        <v>4823.2700000000004</v>
      </c>
      <c r="AG216" s="776"/>
      <c r="AH216" s="784"/>
      <c r="AI216" s="775">
        <v>9794.68</v>
      </c>
      <c r="AJ216" s="776"/>
      <c r="AK216" s="784"/>
      <c r="AL216" s="775">
        <v>17367.310000000001</v>
      </c>
      <c r="AM216" s="776"/>
      <c r="AN216" s="784"/>
      <c r="AO216" s="775">
        <v>12584.47</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60051.459999999992</v>
      </c>
      <c r="F217" s="747"/>
      <c r="G217" s="757"/>
      <c r="H217" s="771">
        <v>5033.26</v>
      </c>
      <c r="I217" s="747"/>
      <c r="J217" s="757"/>
      <c r="K217" s="771">
        <v>4874.41</v>
      </c>
      <c r="L217" s="747"/>
      <c r="M217" s="757"/>
      <c r="N217" s="771">
        <v>4779.74</v>
      </c>
      <c r="O217" s="747"/>
      <c r="P217" s="757"/>
      <c r="Q217" s="771">
        <v>4927.17</v>
      </c>
      <c r="R217" s="747"/>
      <c r="S217" s="757"/>
      <c r="T217" s="771">
        <v>4890.13</v>
      </c>
      <c r="U217" s="747"/>
      <c r="V217" s="757"/>
      <c r="W217" s="771">
        <v>4395.78</v>
      </c>
      <c r="X217" s="747"/>
      <c r="Y217" s="757"/>
      <c r="Z217" s="771">
        <v>4412.6099999999997</v>
      </c>
      <c r="AA217" s="747"/>
      <c r="AB217" s="757"/>
      <c r="AC217" s="771">
        <v>5517.68</v>
      </c>
      <c r="AD217" s="747"/>
      <c r="AE217" s="757"/>
      <c r="AF217" s="771">
        <v>5940.99</v>
      </c>
      <c r="AG217" s="747"/>
      <c r="AH217" s="757"/>
      <c r="AI217" s="771">
        <v>5132.66</v>
      </c>
      <c r="AJ217" s="747"/>
      <c r="AK217" s="757"/>
      <c r="AL217" s="771">
        <v>4203.6499999999996</v>
      </c>
      <c r="AM217" s="747"/>
      <c r="AN217" s="757"/>
      <c r="AO217" s="771">
        <v>5943.38</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13765.83</v>
      </c>
      <c r="F218" s="747"/>
      <c r="G218" s="757"/>
      <c r="H218" s="771">
        <v>871.1</v>
      </c>
      <c r="I218" s="747"/>
      <c r="J218" s="757"/>
      <c r="K218" s="771">
        <v>280.83999999999997</v>
      </c>
      <c r="L218" s="747"/>
      <c r="M218" s="757"/>
      <c r="N218" s="771">
        <v>854.47</v>
      </c>
      <c r="O218" s="747"/>
      <c r="P218" s="757"/>
      <c r="Q218" s="771">
        <v>1797.78</v>
      </c>
      <c r="R218" s="747"/>
      <c r="S218" s="757"/>
      <c r="T218" s="771">
        <v>603.02</v>
      </c>
      <c r="U218" s="747"/>
      <c r="V218" s="757"/>
      <c r="W218" s="771">
        <v>1185.33</v>
      </c>
      <c r="X218" s="747"/>
      <c r="Y218" s="757"/>
      <c r="Z218" s="771">
        <v>1503.97</v>
      </c>
      <c r="AA218" s="747"/>
      <c r="AB218" s="757"/>
      <c r="AC218" s="771">
        <v>869.2</v>
      </c>
      <c r="AD218" s="747"/>
      <c r="AE218" s="757"/>
      <c r="AF218" s="771">
        <v>1402.71</v>
      </c>
      <c r="AG218" s="747"/>
      <c r="AH218" s="757"/>
      <c r="AI218" s="771">
        <v>997.62</v>
      </c>
      <c r="AJ218" s="747"/>
      <c r="AK218" s="757"/>
      <c r="AL218" s="771">
        <v>2288.3200000000002</v>
      </c>
      <c r="AM218" s="747"/>
      <c r="AN218" s="757"/>
      <c r="AO218" s="771">
        <v>1111.47</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149992.49</v>
      </c>
      <c r="F219" s="776"/>
      <c r="G219" s="784"/>
      <c r="H219" s="775">
        <v>12192</v>
      </c>
      <c r="I219" s="776"/>
      <c r="J219" s="784"/>
      <c r="K219" s="775">
        <v>10963.92</v>
      </c>
      <c r="L219" s="776"/>
      <c r="M219" s="784"/>
      <c r="N219" s="775">
        <v>7256.24</v>
      </c>
      <c r="O219" s="776"/>
      <c r="P219" s="784"/>
      <c r="Q219" s="775">
        <v>11142.48</v>
      </c>
      <c r="R219" s="776"/>
      <c r="S219" s="784"/>
      <c r="T219" s="775">
        <v>11277.68</v>
      </c>
      <c r="U219" s="776"/>
      <c r="V219" s="784"/>
      <c r="W219" s="775">
        <v>9357.9699999999993</v>
      </c>
      <c r="X219" s="776"/>
      <c r="Y219" s="784"/>
      <c r="Z219" s="775">
        <v>10931.7</v>
      </c>
      <c r="AA219" s="776"/>
      <c r="AB219" s="784"/>
      <c r="AC219" s="775">
        <v>14092.66</v>
      </c>
      <c r="AD219" s="776"/>
      <c r="AE219" s="784"/>
      <c r="AF219" s="775">
        <v>13426.65</v>
      </c>
      <c r="AG219" s="776"/>
      <c r="AH219" s="784"/>
      <c r="AI219" s="775">
        <v>18813.41</v>
      </c>
      <c r="AJ219" s="776"/>
      <c r="AK219" s="784"/>
      <c r="AL219" s="775">
        <v>14870.17</v>
      </c>
      <c r="AM219" s="776"/>
      <c r="AN219" s="784"/>
      <c r="AO219" s="775">
        <v>15667.61</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57317.820000000007</v>
      </c>
      <c r="F221" s="747"/>
      <c r="G221" s="757"/>
      <c r="H221" s="771">
        <v>6983.25</v>
      </c>
      <c r="I221" s="747"/>
      <c r="J221" s="757"/>
      <c r="K221" s="771">
        <v>5550.12</v>
      </c>
      <c r="L221" s="747"/>
      <c r="M221" s="757"/>
      <c r="N221" s="771">
        <v>3678.95</v>
      </c>
      <c r="O221" s="747"/>
      <c r="P221" s="757"/>
      <c r="Q221" s="771">
        <v>4529.47</v>
      </c>
      <c r="R221" s="747"/>
      <c r="S221" s="757"/>
      <c r="T221" s="771">
        <v>1539.27</v>
      </c>
      <c r="U221" s="747"/>
      <c r="V221" s="757"/>
      <c r="W221" s="771">
        <v>2780.21</v>
      </c>
      <c r="X221" s="747"/>
      <c r="Y221" s="757"/>
      <c r="Z221" s="771">
        <v>3252.8</v>
      </c>
      <c r="AA221" s="747"/>
      <c r="AB221" s="757"/>
      <c r="AC221" s="771">
        <v>4390.1400000000003</v>
      </c>
      <c r="AD221" s="747"/>
      <c r="AE221" s="757"/>
      <c r="AF221" s="771">
        <v>3918.87</v>
      </c>
      <c r="AG221" s="747"/>
      <c r="AH221" s="757"/>
      <c r="AI221" s="771">
        <v>6845.96</v>
      </c>
      <c r="AJ221" s="747"/>
      <c r="AK221" s="757"/>
      <c r="AL221" s="771">
        <v>4375.9799999999996</v>
      </c>
      <c r="AM221" s="747"/>
      <c r="AN221" s="757"/>
      <c r="AO221" s="771">
        <v>9472.7999999999993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14535.6</v>
      </c>
      <c r="F222" s="747"/>
      <c r="G222" s="757"/>
      <c r="H222" s="771">
        <v>1327.56</v>
      </c>
      <c r="I222" s="747"/>
      <c r="J222" s="757"/>
      <c r="K222" s="771">
        <v>786.75</v>
      </c>
      <c r="L222" s="747"/>
      <c r="M222" s="757"/>
      <c r="N222" s="771">
        <v>858.19</v>
      </c>
      <c r="O222" s="747"/>
      <c r="P222" s="757"/>
      <c r="Q222" s="771">
        <v>893.35</v>
      </c>
      <c r="R222" s="747"/>
      <c r="S222" s="757"/>
      <c r="T222" s="771">
        <v>1556.43</v>
      </c>
      <c r="U222" s="747"/>
      <c r="V222" s="757"/>
      <c r="W222" s="771">
        <v>1811.25</v>
      </c>
      <c r="X222" s="747"/>
      <c r="Y222" s="757"/>
      <c r="Z222" s="771">
        <v>1654</v>
      </c>
      <c r="AA222" s="747"/>
      <c r="AB222" s="757"/>
      <c r="AC222" s="771">
        <v>583.12</v>
      </c>
      <c r="AD222" s="747"/>
      <c r="AE222" s="757"/>
      <c r="AF222" s="771">
        <v>798.78</v>
      </c>
      <c r="AG222" s="747"/>
      <c r="AH222" s="757"/>
      <c r="AI222" s="771">
        <v>2261.06</v>
      </c>
      <c r="AJ222" s="747"/>
      <c r="AK222" s="757"/>
      <c r="AL222" s="771">
        <v>960.28</v>
      </c>
      <c r="AM222" s="747"/>
      <c r="AN222" s="757"/>
      <c r="AO222" s="771">
        <v>1044.83</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12393.650000000001</v>
      </c>
      <c r="F223" s="747"/>
      <c r="G223" s="757"/>
      <c r="H223" s="771">
        <v>318.92</v>
      </c>
      <c r="I223" s="747"/>
      <c r="J223" s="757"/>
      <c r="K223" s="771">
        <v>1046.04</v>
      </c>
      <c r="L223" s="747"/>
      <c r="M223" s="757"/>
      <c r="N223" s="771">
        <v>139.71</v>
      </c>
      <c r="O223" s="747"/>
      <c r="P223" s="757"/>
      <c r="Q223" s="771">
        <v>479.88</v>
      </c>
      <c r="R223" s="747"/>
      <c r="S223" s="757"/>
      <c r="T223" s="771">
        <v>1120.67</v>
      </c>
      <c r="U223" s="747"/>
      <c r="V223" s="757"/>
      <c r="W223" s="771">
        <v>528.83000000000004</v>
      </c>
      <c r="X223" s="747"/>
      <c r="Y223" s="757"/>
      <c r="Z223" s="771">
        <v>695.18</v>
      </c>
      <c r="AA223" s="747"/>
      <c r="AB223" s="757"/>
      <c r="AC223" s="771">
        <v>2478.59</v>
      </c>
      <c r="AD223" s="747"/>
      <c r="AE223" s="757"/>
      <c r="AF223" s="771">
        <v>664.75</v>
      </c>
      <c r="AG223" s="747"/>
      <c r="AH223" s="757"/>
      <c r="AI223" s="771">
        <v>669.02</v>
      </c>
      <c r="AJ223" s="747"/>
      <c r="AK223" s="757"/>
      <c r="AL223" s="771">
        <v>1316.02</v>
      </c>
      <c r="AM223" s="747"/>
      <c r="AN223" s="757"/>
      <c r="AO223" s="771">
        <v>2936.04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2172.16</v>
      </c>
      <c r="F224" s="747"/>
      <c r="G224" s="757"/>
      <c r="H224" s="771">
        <v>155.93</v>
      </c>
      <c r="I224" s="747"/>
      <c r="J224" s="757"/>
      <c r="K224" s="771">
        <v>80.760000000000005</v>
      </c>
      <c r="L224" s="747"/>
      <c r="M224" s="757"/>
      <c r="N224" s="771">
        <v>98.64</v>
      </c>
      <c r="O224" s="747"/>
      <c r="P224" s="757"/>
      <c r="Q224" s="771">
        <v>330.28</v>
      </c>
      <c r="R224" s="747"/>
      <c r="S224" s="757"/>
      <c r="T224" s="771">
        <v>129.33000000000001</v>
      </c>
      <c r="U224" s="747"/>
      <c r="V224" s="757"/>
      <c r="W224" s="771">
        <v>124.01</v>
      </c>
      <c r="X224" s="747"/>
      <c r="Y224" s="757"/>
      <c r="Z224" s="771">
        <v>127.04</v>
      </c>
      <c r="AA224" s="747"/>
      <c r="AB224" s="757"/>
      <c r="AC224" s="771">
        <v>197.95</v>
      </c>
      <c r="AD224" s="747"/>
      <c r="AE224" s="757"/>
      <c r="AF224" s="771">
        <v>131.22</v>
      </c>
      <c r="AG224" s="747"/>
      <c r="AH224" s="757"/>
      <c r="AI224" s="771">
        <v>450.83</v>
      </c>
      <c r="AJ224" s="747"/>
      <c r="AK224" s="757"/>
      <c r="AL224" s="771">
        <v>184.09</v>
      </c>
      <c r="AM224" s="747"/>
      <c r="AN224" s="757"/>
      <c r="AO224" s="771">
        <v>162.08000000000001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894.78</v>
      </c>
      <c r="F225" s="747"/>
      <c r="G225" s="757"/>
      <c r="H225" s="771">
        <v>200.35</v>
      </c>
      <c r="I225" s="747"/>
      <c r="J225" s="757"/>
      <c r="K225" s="771">
        <v>166.51</v>
      </c>
      <c r="L225" s="747"/>
      <c r="M225" s="757"/>
      <c r="N225" s="771">
        <v>208.68</v>
      </c>
      <c r="O225" s="747"/>
      <c r="P225" s="757"/>
      <c r="Q225" s="771">
        <v>7.92</v>
      </c>
      <c r="R225" s="747"/>
      <c r="S225" s="757"/>
      <c r="T225" s="771">
        <v>35.72</v>
      </c>
      <c r="U225" s="747"/>
      <c r="V225" s="757"/>
      <c r="W225" s="771">
        <v>24.72</v>
      </c>
      <c r="X225" s="747"/>
      <c r="Y225" s="757"/>
      <c r="Z225" s="771">
        <v>24.72</v>
      </c>
      <c r="AA225" s="747"/>
      <c r="AB225" s="757"/>
      <c r="AC225" s="771">
        <v>7.92</v>
      </c>
      <c r="AD225" s="747"/>
      <c r="AE225" s="757"/>
      <c r="AF225" s="771">
        <v>38.619999999999997</v>
      </c>
      <c r="AG225" s="747"/>
      <c r="AH225" s="757"/>
      <c r="AI225" s="771">
        <v>124.72</v>
      </c>
      <c r="AJ225" s="747"/>
      <c r="AK225" s="757"/>
      <c r="AL225" s="771">
        <v>30.18</v>
      </c>
      <c r="AM225" s="747"/>
      <c r="AN225" s="757"/>
      <c r="AO225" s="771">
        <v>24.72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1624.3500000000004</v>
      </c>
      <c r="F226" s="747"/>
      <c r="G226" s="757"/>
      <c r="H226" s="771">
        <v>77.44</v>
      </c>
      <c r="I226" s="747"/>
      <c r="J226" s="757"/>
      <c r="K226" s="771">
        <v>154.24</v>
      </c>
      <c r="L226" s="747"/>
      <c r="M226" s="757"/>
      <c r="N226" s="771">
        <v>191.99</v>
      </c>
      <c r="O226" s="747"/>
      <c r="P226" s="757"/>
      <c r="Q226" s="771">
        <v>151.44999999999999</v>
      </c>
      <c r="R226" s="747"/>
      <c r="S226" s="757"/>
      <c r="T226" s="771">
        <v>78.989999999999995</v>
      </c>
      <c r="U226" s="747"/>
      <c r="V226" s="757"/>
      <c r="W226" s="771">
        <v>92.81</v>
      </c>
      <c r="X226" s="747"/>
      <c r="Y226" s="757"/>
      <c r="Z226" s="771">
        <v>141.38</v>
      </c>
      <c r="AA226" s="747"/>
      <c r="AB226" s="757"/>
      <c r="AC226" s="771">
        <v>39.35</v>
      </c>
      <c r="AD226" s="747"/>
      <c r="AE226" s="757"/>
      <c r="AF226" s="771">
        <v>114</v>
      </c>
      <c r="AG226" s="747"/>
      <c r="AH226" s="757"/>
      <c r="AI226" s="771">
        <v>175.86</v>
      </c>
      <c r="AJ226" s="747"/>
      <c r="AK226" s="757"/>
      <c r="AL226" s="771">
        <v>335.11</v>
      </c>
      <c r="AM226" s="747"/>
      <c r="AN226" s="757"/>
      <c r="AO226" s="771">
        <v>71.73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23186.6</v>
      </c>
      <c r="F227" s="747"/>
      <c r="G227" s="757"/>
      <c r="H227" s="771">
        <v>3084.54</v>
      </c>
      <c r="I227" s="747"/>
      <c r="J227" s="757"/>
      <c r="K227" s="771">
        <v>4005.58</v>
      </c>
      <c r="L227" s="747"/>
      <c r="M227" s="757"/>
      <c r="N227" s="771">
        <v>3223.22</v>
      </c>
      <c r="O227" s="747"/>
      <c r="P227" s="757"/>
      <c r="Q227" s="771">
        <v>1114.8599999999999</v>
      </c>
      <c r="R227" s="747"/>
      <c r="S227" s="757"/>
      <c r="T227" s="771">
        <v>667.07</v>
      </c>
      <c r="U227" s="747"/>
      <c r="V227" s="757"/>
      <c r="W227" s="771">
        <v>3086.75</v>
      </c>
      <c r="X227" s="747"/>
      <c r="Y227" s="757"/>
      <c r="Z227" s="771">
        <v>2955.15</v>
      </c>
      <c r="AA227" s="747"/>
      <c r="AB227" s="757"/>
      <c r="AC227" s="771">
        <v>1993.64</v>
      </c>
      <c r="AD227" s="747"/>
      <c r="AE227" s="757"/>
      <c r="AF227" s="771">
        <v>1018.26</v>
      </c>
      <c r="AG227" s="747"/>
      <c r="AH227" s="757"/>
      <c r="AI227" s="771">
        <v>1357.17</v>
      </c>
      <c r="AJ227" s="747"/>
      <c r="AK227" s="757"/>
      <c r="AL227" s="771">
        <v>342.09</v>
      </c>
      <c r="AM227" s="747"/>
      <c r="AN227" s="757"/>
      <c r="AO227" s="771">
        <v>338.27</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23688.240000000002</v>
      </c>
      <c r="F228" s="747"/>
      <c r="G228" s="757"/>
      <c r="H228" s="771">
        <v>1543.95</v>
      </c>
      <c r="I228" s="747"/>
      <c r="J228" s="757"/>
      <c r="K228" s="771">
        <v>1219.05</v>
      </c>
      <c r="L228" s="747"/>
      <c r="M228" s="757"/>
      <c r="N228" s="771">
        <v>1607.06</v>
      </c>
      <c r="O228" s="747"/>
      <c r="P228" s="757"/>
      <c r="Q228" s="771">
        <v>2138.54</v>
      </c>
      <c r="R228" s="747"/>
      <c r="S228" s="757"/>
      <c r="T228" s="771">
        <v>2375.2600000000002</v>
      </c>
      <c r="U228" s="747"/>
      <c r="V228" s="757"/>
      <c r="W228" s="771">
        <v>1678.9</v>
      </c>
      <c r="X228" s="747"/>
      <c r="Y228" s="757"/>
      <c r="Z228" s="771">
        <v>1859.4</v>
      </c>
      <c r="AA228" s="747"/>
      <c r="AB228" s="757"/>
      <c r="AC228" s="771">
        <v>1788.12</v>
      </c>
      <c r="AD228" s="747"/>
      <c r="AE228" s="757"/>
      <c r="AF228" s="771">
        <v>1633.56</v>
      </c>
      <c r="AG228" s="747"/>
      <c r="AH228" s="757"/>
      <c r="AI228" s="771">
        <v>2391.44</v>
      </c>
      <c r="AJ228" s="747"/>
      <c r="AK228" s="757"/>
      <c r="AL228" s="771">
        <v>3383.76</v>
      </c>
      <c r="AM228" s="747"/>
      <c r="AN228" s="757"/>
      <c r="AO228" s="771">
        <v>2069.1999999999998</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0.26494546090451715</v>
      </c>
      <c r="E232" s="779">
        <v>691656.6</v>
      </c>
      <c r="F232" s="777" t="s">
        <v>175</v>
      </c>
      <c r="G232" s="778">
        <v>0</v>
      </c>
      <c r="H232" s="779">
        <v>56695.249999999993</v>
      </c>
      <c r="I232" s="777" t="s">
        <v>175</v>
      </c>
      <c r="J232" s="778">
        <v>0</v>
      </c>
      <c r="K232" s="779">
        <v>51909.320000000007</v>
      </c>
      <c r="L232" s="777" t="s">
        <v>175</v>
      </c>
      <c r="M232" s="778">
        <v>0</v>
      </c>
      <c r="N232" s="779">
        <v>46590.06</v>
      </c>
      <c r="O232" s="777" t="s">
        <v>175</v>
      </c>
      <c r="P232" s="778">
        <v>0</v>
      </c>
      <c r="Q232" s="779">
        <v>53805.189999999995</v>
      </c>
      <c r="R232" s="777" t="s">
        <v>175</v>
      </c>
      <c r="S232" s="778">
        <v>0</v>
      </c>
      <c r="T232" s="779">
        <v>52267.889999999985</v>
      </c>
      <c r="U232" s="777" t="s">
        <v>175</v>
      </c>
      <c r="V232" s="778">
        <v>0</v>
      </c>
      <c r="W232" s="779">
        <v>53323.020000000004</v>
      </c>
      <c r="X232" s="777" t="s">
        <v>175</v>
      </c>
      <c r="Y232" s="778">
        <v>0</v>
      </c>
      <c r="Z232" s="779">
        <v>58602.1</v>
      </c>
      <c r="AA232" s="777" t="s">
        <v>175</v>
      </c>
      <c r="AB232" s="778">
        <v>0</v>
      </c>
      <c r="AC232" s="779">
        <v>59344.78</v>
      </c>
      <c r="AD232" s="777" t="s">
        <v>175</v>
      </c>
      <c r="AE232" s="778">
        <v>0</v>
      </c>
      <c r="AF232" s="779">
        <v>47692.570000000007</v>
      </c>
      <c r="AG232" s="777" t="s">
        <v>175</v>
      </c>
      <c r="AH232" s="778">
        <v>0</v>
      </c>
      <c r="AI232" s="779">
        <v>67921.36</v>
      </c>
      <c r="AJ232" s="777" t="s">
        <v>175</v>
      </c>
      <c r="AK232" s="778">
        <v>0</v>
      </c>
      <c r="AL232" s="779">
        <v>67328.479999999967</v>
      </c>
      <c r="AM232" s="777" t="s">
        <v>175</v>
      </c>
      <c r="AN232" s="778">
        <v>0</v>
      </c>
      <c r="AO232" s="779">
        <v>76176.579999999987</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0.82667835554102886</v>
      </c>
      <c r="E234" s="789">
        <v>2158095.25</v>
      </c>
      <c r="F234" s="777" t="s">
        <v>119</v>
      </c>
      <c r="G234" s="815">
        <v>0</v>
      </c>
      <c r="H234" s="789">
        <v>168019.33</v>
      </c>
      <c r="I234" s="777" t="s">
        <v>119</v>
      </c>
      <c r="J234" s="815">
        <v>0</v>
      </c>
      <c r="K234" s="789">
        <v>156758.58000000002</v>
      </c>
      <c r="L234" s="777" t="s">
        <v>119</v>
      </c>
      <c r="M234" s="815">
        <v>0</v>
      </c>
      <c r="N234" s="789">
        <v>158492.56</v>
      </c>
      <c r="O234" s="777" t="s">
        <v>119</v>
      </c>
      <c r="P234" s="815">
        <v>0</v>
      </c>
      <c r="Q234" s="789">
        <v>194209.49</v>
      </c>
      <c r="R234" s="777" t="s">
        <v>119</v>
      </c>
      <c r="S234" s="815">
        <v>0</v>
      </c>
      <c r="T234" s="789">
        <v>205105.98999999996</v>
      </c>
      <c r="U234" s="777" t="s">
        <v>119</v>
      </c>
      <c r="V234" s="815">
        <v>0</v>
      </c>
      <c r="W234" s="789">
        <v>171216.76</v>
      </c>
      <c r="X234" s="777" t="s">
        <v>119</v>
      </c>
      <c r="Y234" s="815">
        <v>0</v>
      </c>
      <c r="Z234" s="789">
        <v>167834.38999999998</v>
      </c>
      <c r="AA234" s="777" t="s">
        <v>119</v>
      </c>
      <c r="AB234" s="815">
        <v>0</v>
      </c>
      <c r="AC234" s="789">
        <v>188200.39</v>
      </c>
      <c r="AD234" s="777" t="s">
        <v>119</v>
      </c>
      <c r="AE234" s="815">
        <v>0</v>
      </c>
      <c r="AF234" s="789">
        <v>157002.6</v>
      </c>
      <c r="AG234" s="777" t="s">
        <v>119</v>
      </c>
      <c r="AH234" s="815">
        <v>0</v>
      </c>
      <c r="AI234" s="789">
        <v>192021.84</v>
      </c>
      <c r="AJ234" s="777" t="s">
        <v>119</v>
      </c>
      <c r="AK234" s="815">
        <v>0</v>
      </c>
      <c r="AL234" s="789">
        <v>220930.41999999998</v>
      </c>
      <c r="AM234" s="777" t="s">
        <v>119</v>
      </c>
      <c r="AN234" s="815">
        <v>0</v>
      </c>
      <c r="AO234" s="789">
        <v>178302.89999999997</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452466.92999999598</v>
      </c>
      <c r="F236" s="816"/>
      <c r="G236" s="817"/>
      <c r="H236" s="798">
        <v>-16541.799999999988</v>
      </c>
      <c r="I236" s="816"/>
      <c r="J236" s="817"/>
      <c r="K236" s="798">
        <v>-18629.00000000032</v>
      </c>
      <c r="L236" s="816"/>
      <c r="M236" s="817"/>
      <c r="N236" s="798">
        <v>5962.109999999986</v>
      </c>
      <c r="O236" s="816"/>
      <c r="P236" s="817"/>
      <c r="Q236" s="798">
        <v>66162.689999999886</v>
      </c>
      <c r="R236" s="816"/>
      <c r="S236" s="817"/>
      <c r="T236" s="798">
        <v>76851.019999999815</v>
      </c>
      <c r="U236" s="816"/>
      <c r="V236" s="817"/>
      <c r="W236" s="798">
        <v>13291.389999999839</v>
      </c>
      <c r="X236" s="816"/>
      <c r="Y236" s="817"/>
      <c r="Z236" s="798">
        <v>39282.569999999803</v>
      </c>
      <c r="AA236" s="816"/>
      <c r="AB236" s="817"/>
      <c r="AC236" s="798">
        <v>28831.489999999001</v>
      </c>
      <c r="AD236" s="816"/>
      <c r="AE236" s="817"/>
      <c r="AF236" s="798">
        <v>39786.380000000005</v>
      </c>
      <c r="AG236" s="816"/>
      <c r="AH236" s="817"/>
      <c r="AI236" s="798">
        <v>76516.149999999005</v>
      </c>
      <c r="AJ236" s="816"/>
      <c r="AK236" s="817"/>
      <c r="AL236" s="798">
        <v>131387.45999999897</v>
      </c>
      <c r="AM236" s="816"/>
      <c r="AN236" s="817"/>
      <c r="AO236" s="798">
        <v>9566.469999999943</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3935</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141</v>
      </c>
      <c r="D244" s="770">
        <v>325852.72999999986</v>
      </c>
      <c r="E244" s="758">
        <v>66661.97999999988</v>
      </c>
      <c r="F244" s="820">
        <v>53</v>
      </c>
      <c r="G244" s="821">
        <v>98781.13</v>
      </c>
      <c r="H244" s="771">
        <v>17818.689999999999</v>
      </c>
      <c r="I244" s="820">
        <v>26</v>
      </c>
      <c r="J244" s="821">
        <v>73373.929999999993</v>
      </c>
      <c r="K244" s="771">
        <v>7724.71</v>
      </c>
      <c r="L244" s="820">
        <v>14</v>
      </c>
      <c r="M244" s="821">
        <v>24014.21</v>
      </c>
      <c r="N244" s="771">
        <v>6434.36</v>
      </c>
      <c r="O244" s="820">
        <v>22</v>
      </c>
      <c r="P244" s="821">
        <v>71665.97</v>
      </c>
      <c r="Q244" s="771">
        <v>17236.2599999999</v>
      </c>
      <c r="R244" s="820">
        <v>1</v>
      </c>
      <c r="S244" s="821">
        <v>2841.31</v>
      </c>
      <c r="T244" s="771">
        <v>1481.92</v>
      </c>
      <c r="U244" s="820">
        <v>0</v>
      </c>
      <c r="V244" s="821">
        <v>502.19</v>
      </c>
      <c r="W244" s="771">
        <v>502.19</v>
      </c>
      <c r="X244" s="820">
        <v>0</v>
      </c>
      <c r="Y244" s="821">
        <v>866.04</v>
      </c>
      <c r="Z244" s="771">
        <v>866.04</v>
      </c>
      <c r="AA244" s="820">
        <v>3</v>
      </c>
      <c r="AB244" s="821">
        <v>5841.65</v>
      </c>
      <c r="AC244" s="771">
        <v>618.04999999999995</v>
      </c>
      <c r="AD244" s="820">
        <v>4</v>
      </c>
      <c r="AE244" s="821">
        <v>10846.7499999999</v>
      </c>
      <c r="AF244" s="771">
        <v>4670.5899999999901</v>
      </c>
      <c r="AG244" s="820">
        <v>4</v>
      </c>
      <c r="AH244" s="821">
        <v>10936.23</v>
      </c>
      <c r="AI244" s="771">
        <v>3830.0299999999902</v>
      </c>
      <c r="AJ244" s="820">
        <v>3</v>
      </c>
      <c r="AK244" s="821">
        <v>8391.06</v>
      </c>
      <c r="AL244" s="771">
        <v>2134.2399999999998</v>
      </c>
      <c r="AM244" s="820">
        <v>11</v>
      </c>
      <c r="AN244" s="821">
        <v>17792.259999999998</v>
      </c>
      <c r="AO244" s="771">
        <v>3344.9</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0.20457701858136929</v>
      </c>
      <c r="F245" s="819"/>
      <c r="G245" s="757"/>
      <c r="H245" s="822">
        <v>0.18038556554273066</v>
      </c>
      <c r="I245" s="819"/>
      <c r="J245" s="757"/>
      <c r="K245" s="822">
        <v>0.10527867322903381</v>
      </c>
      <c r="L245" s="819"/>
      <c r="M245" s="757"/>
      <c r="N245" s="822">
        <v>0.26793969070812657</v>
      </c>
      <c r="O245" s="819"/>
      <c r="P245" s="757"/>
      <c r="Q245" s="822">
        <v>0.24050829145269226</v>
      </c>
      <c r="R245" s="819"/>
      <c r="S245" s="757"/>
      <c r="T245" s="822">
        <v>0.52156223713709526</v>
      </c>
      <c r="U245" s="819"/>
      <c r="V245" s="757"/>
      <c r="W245" s="822">
        <v>1</v>
      </c>
      <c r="X245" s="819"/>
      <c r="Y245" s="757"/>
      <c r="Z245" s="822">
        <v>1</v>
      </c>
      <c r="AA245" s="819"/>
      <c r="AB245" s="757"/>
      <c r="AC245" s="822">
        <v>0.10580058716287351</v>
      </c>
      <c r="AD245" s="819"/>
      <c r="AE245" s="757"/>
      <c r="AF245" s="822">
        <v>0.43059810542328653</v>
      </c>
      <c r="AG245" s="819"/>
      <c r="AH245" s="757"/>
      <c r="AI245" s="822">
        <v>0.35021483637414269</v>
      </c>
      <c r="AJ245" s="819"/>
      <c r="AK245" s="757"/>
      <c r="AL245" s="822">
        <v>0.25434688823581286</v>
      </c>
      <c r="AM245" s="819"/>
      <c r="AN245" s="757"/>
      <c r="AO245" s="822">
        <v>0.18799747755484691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325852.72999999986</v>
      </c>
      <c r="E253" s="761">
        <v>66661.97999999988</v>
      </c>
      <c r="F253" s="759"/>
      <c r="G253" s="850">
        <v>98781.13</v>
      </c>
      <c r="H253" s="761">
        <v>17818.689999999999</v>
      </c>
      <c r="I253" s="759"/>
      <c r="J253" s="850">
        <v>73373.929999999993</v>
      </c>
      <c r="K253" s="761">
        <v>7724.71</v>
      </c>
      <c r="L253" s="759"/>
      <c r="M253" s="850">
        <v>24014.21</v>
      </c>
      <c r="N253" s="761">
        <v>6434.36</v>
      </c>
      <c r="O253" s="759"/>
      <c r="P253" s="850">
        <v>71665.97</v>
      </c>
      <c r="Q253" s="761">
        <v>17236.2599999999</v>
      </c>
      <c r="R253" s="759"/>
      <c r="S253" s="850">
        <v>2841.31</v>
      </c>
      <c r="T253" s="761">
        <v>1481.92</v>
      </c>
      <c r="U253" s="759"/>
      <c r="V253" s="850">
        <v>502.19</v>
      </c>
      <c r="W253" s="761">
        <v>502.19</v>
      </c>
      <c r="X253" s="759"/>
      <c r="Y253" s="850">
        <v>866.04</v>
      </c>
      <c r="Z253" s="761">
        <v>866.04</v>
      </c>
      <c r="AA253" s="759"/>
      <c r="AB253" s="850">
        <v>5841.65</v>
      </c>
      <c r="AC253" s="761">
        <v>618.04999999999995</v>
      </c>
      <c r="AD253" s="759"/>
      <c r="AE253" s="850">
        <v>10846.7499999999</v>
      </c>
      <c r="AF253" s="761">
        <v>4670.5899999999901</v>
      </c>
      <c r="AG253" s="759"/>
      <c r="AH253" s="850">
        <v>10936.23</v>
      </c>
      <c r="AI253" s="761">
        <v>3830.0299999999902</v>
      </c>
      <c r="AJ253" s="759"/>
      <c r="AK253" s="850">
        <v>8391.06</v>
      </c>
      <c r="AL253" s="761">
        <v>2134.2399999999998</v>
      </c>
      <c r="AM253" s="759"/>
      <c r="AN253" s="850">
        <v>17792.259999999998</v>
      </c>
      <c r="AO253" s="761">
        <v>3344.9</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0.20457701858136929</v>
      </c>
      <c r="F254" s="762"/>
      <c r="G254" s="763"/>
      <c r="H254" s="851">
        <v>0.18038556554273066</v>
      </c>
      <c r="I254" s="762"/>
      <c r="J254" s="763"/>
      <c r="K254" s="851">
        <v>0.10527867322903381</v>
      </c>
      <c r="L254" s="762"/>
      <c r="M254" s="763"/>
      <c r="N254" s="851">
        <v>0.26793969070812657</v>
      </c>
      <c r="O254" s="762"/>
      <c r="P254" s="763"/>
      <c r="Q254" s="851">
        <v>0.24050829145269226</v>
      </c>
      <c r="R254" s="762"/>
      <c r="S254" s="763"/>
      <c r="T254" s="851">
        <v>0.52156223713709526</v>
      </c>
      <c r="U254" s="762"/>
      <c r="V254" s="763"/>
      <c r="W254" s="851">
        <v>1</v>
      </c>
      <c r="X254" s="762"/>
      <c r="Y254" s="763"/>
      <c r="Z254" s="851">
        <v>1</v>
      </c>
      <c r="AA254" s="762"/>
      <c r="AB254" s="763"/>
      <c r="AC254" s="851">
        <v>0.10580058716287351</v>
      </c>
      <c r="AD254" s="762"/>
      <c r="AE254" s="763"/>
      <c r="AF254" s="851">
        <v>0.43059810542328653</v>
      </c>
      <c r="AG254" s="762"/>
      <c r="AH254" s="763"/>
      <c r="AI254" s="851">
        <v>0.35021483637414269</v>
      </c>
      <c r="AJ254" s="762"/>
      <c r="AK254" s="763"/>
      <c r="AL254" s="851">
        <v>0.25434688823581286</v>
      </c>
      <c r="AM254" s="762"/>
      <c r="AN254" s="763"/>
      <c r="AO254" s="851">
        <v>0.18799747755484691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10822.559999999998</v>
      </c>
      <c r="F257" s="747"/>
      <c r="G257" s="757"/>
      <c r="H257" s="771">
        <v>901.88</v>
      </c>
      <c r="I257" s="747"/>
      <c r="J257" s="757"/>
      <c r="K257" s="771">
        <v>901.88</v>
      </c>
      <c r="L257" s="747"/>
      <c r="M257" s="757"/>
      <c r="N257" s="771">
        <v>901.88</v>
      </c>
      <c r="O257" s="747"/>
      <c r="P257" s="757"/>
      <c r="Q257" s="771">
        <v>901.88</v>
      </c>
      <c r="R257" s="747"/>
      <c r="S257" s="757"/>
      <c r="T257" s="771">
        <v>901.88</v>
      </c>
      <c r="U257" s="747"/>
      <c r="V257" s="757"/>
      <c r="W257" s="771">
        <v>901.88</v>
      </c>
      <c r="X257" s="747"/>
      <c r="Y257" s="757"/>
      <c r="Z257" s="771">
        <v>901.88</v>
      </c>
      <c r="AA257" s="747"/>
      <c r="AB257" s="757"/>
      <c r="AC257" s="771">
        <v>901.88</v>
      </c>
      <c r="AD257" s="747"/>
      <c r="AE257" s="757"/>
      <c r="AF257" s="771">
        <v>901.88</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26730.240000000002</v>
      </c>
      <c r="F258" s="747"/>
      <c r="G258" s="757"/>
      <c r="H258" s="771">
        <v>4508.6400000000003</v>
      </c>
      <c r="I258" s="747"/>
      <c r="J258" s="757"/>
      <c r="K258" s="771">
        <v>4544.6099999999997</v>
      </c>
      <c r="L258" s="747"/>
      <c r="M258" s="757"/>
      <c r="N258" s="771">
        <v>738.54</v>
      </c>
      <c r="O258" s="747"/>
      <c r="P258" s="757"/>
      <c r="Q258" s="771">
        <v>452.67</v>
      </c>
      <c r="R258" s="747"/>
      <c r="S258" s="757"/>
      <c r="T258" s="771">
        <v>492.92</v>
      </c>
      <c r="U258" s="747"/>
      <c r="V258" s="757"/>
      <c r="W258" s="771">
        <v>198.91</v>
      </c>
      <c r="X258" s="747"/>
      <c r="Y258" s="757"/>
      <c r="Z258" s="771">
        <v>2105.37</v>
      </c>
      <c r="AA258" s="747"/>
      <c r="AB258" s="757"/>
      <c r="AC258" s="771">
        <v>462.59</v>
      </c>
      <c r="AD258" s="747"/>
      <c r="AE258" s="757"/>
      <c r="AF258" s="771">
        <v>446.82</v>
      </c>
      <c r="AG258" s="747"/>
      <c r="AH258" s="757"/>
      <c r="AI258" s="771">
        <v>3190.36</v>
      </c>
      <c r="AJ258" s="747"/>
      <c r="AK258" s="757"/>
      <c r="AL258" s="771">
        <v>5141.84</v>
      </c>
      <c r="AM258" s="747"/>
      <c r="AN258" s="757"/>
      <c r="AO258" s="771">
        <v>4446.97</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1.4100000000000004</v>
      </c>
      <c r="F259" s="780"/>
      <c r="G259" s="781"/>
      <c r="H259" s="783">
        <v>0.08</v>
      </c>
      <c r="I259" s="780"/>
      <c r="J259" s="781"/>
      <c r="K259" s="783">
        <v>0.08</v>
      </c>
      <c r="L259" s="780"/>
      <c r="M259" s="781"/>
      <c r="N259" s="783">
        <v>0.08</v>
      </c>
      <c r="O259" s="780"/>
      <c r="P259" s="781"/>
      <c r="Q259" s="783">
        <v>0.13</v>
      </c>
      <c r="R259" s="780"/>
      <c r="S259" s="781"/>
      <c r="T259" s="783">
        <v>0.48</v>
      </c>
      <c r="U259" s="780"/>
      <c r="V259" s="781"/>
      <c r="W259" s="783">
        <v>0.08</v>
      </c>
      <c r="X259" s="780"/>
      <c r="Y259" s="781"/>
      <c r="Z259" s="783">
        <v>0.08</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c r="I261" s="747"/>
      <c r="J261" s="757"/>
      <c r="K261" s="771"/>
      <c r="L261" s="747"/>
      <c r="M261" s="757"/>
      <c r="N261" s="771"/>
      <c r="O261" s="747"/>
      <c r="P261" s="757"/>
      <c r="Q261" s="771"/>
      <c r="R261" s="747"/>
      <c r="S261" s="757"/>
      <c r="T261" s="771"/>
      <c r="U261" s="747"/>
      <c r="V261" s="757"/>
      <c r="W261" s="771"/>
      <c r="X261" s="747"/>
      <c r="Y261" s="757"/>
      <c r="Z261" s="771"/>
      <c r="AA261" s="747"/>
      <c r="AB261" s="757"/>
      <c r="AC261" s="771"/>
      <c r="AD261" s="747"/>
      <c r="AE261" s="757"/>
      <c r="AF261" s="771"/>
      <c r="AG261" s="747"/>
      <c r="AH261" s="757"/>
      <c r="AI261" s="771"/>
      <c r="AJ261" s="747"/>
      <c r="AK261" s="757"/>
      <c r="AL261" s="771"/>
      <c r="AM261" s="747"/>
      <c r="AN261" s="757"/>
      <c r="AO261" s="771"/>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5683.9500000000007</v>
      </c>
      <c r="F264" s="747"/>
      <c r="G264" s="757"/>
      <c r="H264" s="771">
        <v>379.52</v>
      </c>
      <c r="I264" s="747"/>
      <c r="J264" s="757"/>
      <c r="K264" s="771">
        <v>1216.42</v>
      </c>
      <c r="L264" s="747"/>
      <c r="M264" s="757"/>
      <c r="N264" s="771">
        <v>237.49</v>
      </c>
      <c r="O264" s="747"/>
      <c r="P264" s="757"/>
      <c r="Q264" s="771">
        <v>148.47</v>
      </c>
      <c r="R264" s="747"/>
      <c r="S264" s="757"/>
      <c r="T264" s="771">
        <v>608.66999999999996</v>
      </c>
      <c r="U264" s="747"/>
      <c r="V264" s="757"/>
      <c r="W264" s="771">
        <v>1128.79</v>
      </c>
      <c r="X264" s="747"/>
      <c r="Y264" s="757"/>
      <c r="Z264" s="771">
        <v>226.46</v>
      </c>
      <c r="AA264" s="747"/>
      <c r="AB264" s="757"/>
      <c r="AC264" s="771">
        <v>154.49</v>
      </c>
      <c r="AD264" s="747"/>
      <c r="AE264" s="757"/>
      <c r="AF264" s="771">
        <v>222.13</v>
      </c>
      <c r="AG264" s="747"/>
      <c r="AH264" s="757"/>
      <c r="AI264" s="771">
        <v>398.46</v>
      </c>
      <c r="AJ264" s="747"/>
      <c r="AK264" s="757"/>
      <c r="AL264" s="771">
        <v>406.6</v>
      </c>
      <c r="AM264" s="747"/>
      <c r="AN264" s="757"/>
      <c r="AO264" s="771">
        <v>556.45000000000005</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13637.2</v>
      </c>
      <c r="F265" s="780"/>
      <c r="G265" s="781"/>
      <c r="H265" s="783">
        <v>1532.32</v>
      </c>
      <c r="I265" s="780"/>
      <c r="J265" s="781"/>
      <c r="K265" s="783">
        <v>1778.75</v>
      </c>
      <c r="L265" s="780"/>
      <c r="M265" s="781"/>
      <c r="N265" s="783">
        <v>944.32</v>
      </c>
      <c r="O265" s="780"/>
      <c r="P265" s="781"/>
      <c r="Q265" s="783">
        <v>830.33</v>
      </c>
      <c r="R265" s="780"/>
      <c r="S265" s="781"/>
      <c r="T265" s="783">
        <v>1185.3800000000001</v>
      </c>
      <c r="U265" s="780"/>
      <c r="V265" s="781"/>
      <c r="W265" s="783">
        <v>811.68</v>
      </c>
      <c r="X265" s="780"/>
      <c r="Y265" s="781"/>
      <c r="Z265" s="783">
        <v>1014.72</v>
      </c>
      <c r="AA265" s="780"/>
      <c r="AB265" s="781"/>
      <c r="AC265" s="783">
        <v>853.69</v>
      </c>
      <c r="AD265" s="780"/>
      <c r="AE265" s="781"/>
      <c r="AF265" s="783">
        <v>801.22</v>
      </c>
      <c r="AG265" s="780"/>
      <c r="AH265" s="781"/>
      <c r="AI265" s="783">
        <v>1174.77</v>
      </c>
      <c r="AJ265" s="780"/>
      <c r="AK265" s="781"/>
      <c r="AL265" s="783">
        <v>1444.92</v>
      </c>
      <c r="AM265" s="780"/>
      <c r="AN265" s="781"/>
      <c r="AO265" s="783">
        <v>1265.0999999999999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1807.78</v>
      </c>
      <c r="F266" s="747"/>
      <c r="G266" s="757"/>
      <c r="H266" s="771">
        <v>433.49</v>
      </c>
      <c r="I266" s="747"/>
      <c r="J266" s="757"/>
      <c r="K266" s="771">
        <v>509.86</v>
      </c>
      <c r="L266" s="747"/>
      <c r="M266" s="757"/>
      <c r="N266" s="771">
        <v>403.68</v>
      </c>
      <c r="O266" s="747"/>
      <c r="P266" s="757"/>
      <c r="Q266" s="771">
        <v>325.86</v>
      </c>
      <c r="R266" s="747"/>
      <c r="S266" s="757"/>
      <c r="T266" s="771">
        <v>293.75</v>
      </c>
      <c r="U266" s="747"/>
      <c r="V266" s="757"/>
      <c r="W266" s="771">
        <v>-0.25</v>
      </c>
      <c r="X266" s="747"/>
      <c r="Y266" s="757"/>
      <c r="Z266" s="771">
        <v>112.9</v>
      </c>
      <c r="AA266" s="747"/>
      <c r="AB266" s="757"/>
      <c r="AC266" s="771">
        <v>122.97</v>
      </c>
      <c r="AD266" s="747"/>
      <c r="AE266" s="757"/>
      <c r="AF266" s="771">
        <v>97.21</v>
      </c>
      <c r="AG266" s="747"/>
      <c r="AH266" s="757"/>
      <c r="AI266" s="771">
        <v>284.64999999999998</v>
      </c>
      <c r="AJ266" s="747"/>
      <c r="AK266" s="757"/>
      <c r="AL266" s="771">
        <v>-1117.54</v>
      </c>
      <c r="AM266" s="747"/>
      <c r="AN266" s="757"/>
      <c r="AO266" s="771">
        <v>341.2</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1749.5200000000004</v>
      </c>
      <c r="F267" s="747"/>
      <c r="G267" s="757"/>
      <c r="H267" s="771">
        <v>166.98</v>
      </c>
      <c r="I267" s="747"/>
      <c r="J267" s="757"/>
      <c r="K267" s="771">
        <v>207.37</v>
      </c>
      <c r="L267" s="747"/>
      <c r="M267" s="757"/>
      <c r="N267" s="771">
        <v>91.84</v>
      </c>
      <c r="O267" s="747"/>
      <c r="P267" s="757"/>
      <c r="Q267" s="771">
        <v>127.2</v>
      </c>
      <c r="R267" s="747"/>
      <c r="S267" s="757"/>
      <c r="T267" s="771">
        <v>120.18</v>
      </c>
      <c r="U267" s="747"/>
      <c r="V267" s="757"/>
      <c r="W267" s="771">
        <v>24.4</v>
      </c>
      <c r="X267" s="747"/>
      <c r="Y267" s="757"/>
      <c r="Z267" s="771">
        <v>83.33</v>
      </c>
      <c r="AA267" s="747"/>
      <c r="AB267" s="757"/>
      <c r="AC267" s="771">
        <v>190.46</v>
      </c>
      <c r="AD267" s="747"/>
      <c r="AE267" s="757"/>
      <c r="AF267" s="771">
        <v>42.2</v>
      </c>
      <c r="AG267" s="747"/>
      <c r="AH267" s="757"/>
      <c r="AI267" s="771">
        <v>104.48</v>
      </c>
      <c r="AJ267" s="747"/>
      <c r="AK267" s="757"/>
      <c r="AL267" s="771">
        <v>151.38999999999999</v>
      </c>
      <c r="AM267" s="747"/>
      <c r="AN267" s="757"/>
      <c r="AO267" s="771">
        <v>439.69</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60432.66</v>
      </c>
      <c r="F269" s="777" t="s">
        <v>119</v>
      </c>
      <c r="G269" s="778">
        <v>0</v>
      </c>
      <c r="H269" s="779">
        <v>7922.91</v>
      </c>
      <c r="I269" s="777" t="s">
        <v>119</v>
      </c>
      <c r="J269" s="778">
        <v>0</v>
      </c>
      <c r="K269" s="779">
        <v>9158.9700000000012</v>
      </c>
      <c r="L269" s="777" t="s">
        <v>119</v>
      </c>
      <c r="M269" s="778">
        <v>0</v>
      </c>
      <c r="N269" s="779">
        <v>3317.83</v>
      </c>
      <c r="O269" s="777" t="s">
        <v>119</v>
      </c>
      <c r="P269" s="778">
        <v>0</v>
      </c>
      <c r="Q269" s="779">
        <v>2786.54</v>
      </c>
      <c r="R269" s="777" t="s">
        <v>119</v>
      </c>
      <c r="S269" s="778">
        <v>0</v>
      </c>
      <c r="T269" s="779">
        <v>3603.2599999999998</v>
      </c>
      <c r="U269" s="777" t="s">
        <v>119</v>
      </c>
      <c r="V269" s="778">
        <v>0</v>
      </c>
      <c r="W269" s="779">
        <v>3065.49</v>
      </c>
      <c r="X269" s="777" t="s">
        <v>119</v>
      </c>
      <c r="Y269" s="778">
        <v>0</v>
      </c>
      <c r="Z269" s="779">
        <v>4444.74</v>
      </c>
      <c r="AA269" s="777" t="s">
        <v>119</v>
      </c>
      <c r="AB269" s="778">
        <v>0</v>
      </c>
      <c r="AC269" s="779">
        <v>2686.16</v>
      </c>
      <c r="AD269" s="777" t="s">
        <v>119</v>
      </c>
      <c r="AE269" s="778">
        <v>0</v>
      </c>
      <c r="AF269" s="779">
        <v>2511.54</v>
      </c>
      <c r="AG269" s="777" t="s">
        <v>119</v>
      </c>
      <c r="AH269" s="778">
        <v>0</v>
      </c>
      <c r="AI269" s="779">
        <v>6054.6799999999985</v>
      </c>
      <c r="AJ269" s="777" t="s">
        <v>119</v>
      </c>
      <c r="AK269" s="778">
        <v>0</v>
      </c>
      <c r="AL269" s="779">
        <v>6929.170000000001</v>
      </c>
      <c r="AM269" s="777" t="s">
        <v>119</v>
      </c>
      <c r="AN269" s="778">
        <v>0</v>
      </c>
      <c r="AO269" s="779">
        <v>7951.369999999999</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891.76</v>
      </c>
      <c r="F270" s="747"/>
      <c r="G270" s="757"/>
      <c r="H270" s="771">
        <v>63.4</v>
      </c>
      <c r="I270" s="747"/>
      <c r="J270" s="757"/>
      <c r="K270" s="771">
        <v>7</v>
      </c>
      <c r="L270" s="747"/>
      <c r="M270" s="757"/>
      <c r="N270" s="771">
        <v>0</v>
      </c>
      <c r="O270" s="747"/>
      <c r="P270" s="757"/>
      <c r="Q270" s="771">
        <v>57.6</v>
      </c>
      <c r="R270" s="747"/>
      <c r="S270" s="757"/>
      <c r="T270" s="771">
        <v>154.94999999999999</v>
      </c>
      <c r="U270" s="747"/>
      <c r="V270" s="757"/>
      <c r="W270" s="771">
        <v>175</v>
      </c>
      <c r="X270" s="747"/>
      <c r="Y270" s="757"/>
      <c r="Z270" s="771">
        <v>79.41</v>
      </c>
      <c r="AA270" s="747"/>
      <c r="AB270" s="757"/>
      <c r="AC270" s="771">
        <v>15.15</v>
      </c>
      <c r="AD270" s="747"/>
      <c r="AE270" s="757"/>
      <c r="AF270" s="771">
        <v>110.1</v>
      </c>
      <c r="AG270" s="747"/>
      <c r="AH270" s="757"/>
      <c r="AI270" s="771">
        <v>43.75</v>
      </c>
      <c r="AJ270" s="747"/>
      <c r="AK270" s="757"/>
      <c r="AL270" s="771">
        <v>142.51</v>
      </c>
      <c r="AM270" s="747"/>
      <c r="AN270" s="757"/>
      <c r="AO270" s="771">
        <v>42.89</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14248.440000000002</v>
      </c>
      <c r="F271" s="747"/>
      <c r="G271" s="757"/>
      <c r="H271" s="771">
        <v>579.51</v>
      </c>
      <c r="I271" s="747"/>
      <c r="J271" s="757"/>
      <c r="K271" s="771">
        <v>1286.08</v>
      </c>
      <c r="L271" s="747"/>
      <c r="M271" s="757"/>
      <c r="N271" s="771">
        <v>-1658.94</v>
      </c>
      <c r="O271" s="747"/>
      <c r="P271" s="757"/>
      <c r="Q271" s="771">
        <v>966.44</v>
      </c>
      <c r="R271" s="747"/>
      <c r="S271" s="757"/>
      <c r="T271" s="771">
        <v>389.26</v>
      </c>
      <c r="U271" s="747"/>
      <c r="V271" s="757"/>
      <c r="W271" s="771">
        <v>750</v>
      </c>
      <c r="X271" s="747"/>
      <c r="Y271" s="757"/>
      <c r="Z271" s="771">
        <v>1150</v>
      </c>
      <c r="AA271" s="747"/>
      <c r="AB271" s="757"/>
      <c r="AC271" s="771">
        <v>770</v>
      </c>
      <c r="AD271" s="747"/>
      <c r="AE271" s="757"/>
      <c r="AF271" s="771">
        <v>2260.6799999999998</v>
      </c>
      <c r="AG271" s="747"/>
      <c r="AH271" s="757"/>
      <c r="AI271" s="771">
        <v>2509.87</v>
      </c>
      <c r="AJ271" s="747"/>
      <c r="AK271" s="757"/>
      <c r="AL271" s="771">
        <v>2866.52</v>
      </c>
      <c r="AM271" s="747"/>
      <c r="AN271" s="757"/>
      <c r="AO271" s="771">
        <v>2379.02</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2244.34</v>
      </c>
      <c r="F272" s="776"/>
      <c r="G272" s="784"/>
      <c r="H272" s="775">
        <v>157.77000000000001</v>
      </c>
      <c r="I272" s="776"/>
      <c r="J272" s="784"/>
      <c r="K272" s="775">
        <v>157.77000000000001</v>
      </c>
      <c r="L272" s="776"/>
      <c r="M272" s="784"/>
      <c r="N272" s="775">
        <v>177.91</v>
      </c>
      <c r="O272" s="776"/>
      <c r="P272" s="784"/>
      <c r="Q272" s="775">
        <v>157.77000000000001</v>
      </c>
      <c r="R272" s="776"/>
      <c r="S272" s="784"/>
      <c r="T272" s="775">
        <v>177.91</v>
      </c>
      <c r="U272" s="776"/>
      <c r="V272" s="784"/>
      <c r="W272" s="775">
        <v>157.77000000000001</v>
      </c>
      <c r="X272" s="776"/>
      <c r="Y272" s="784"/>
      <c r="Z272" s="775">
        <v>157.77000000000001</v>
      </c>
      <c r="AA272" s="776"/>
      <c r="AB272" s="784"/>
      <c r="AC272" s="775">
        <v>291.91000000000003</v>
      </c>
      <c r="AD272" s="776"/>
      <c r="AE272" s="784"/>
      <c r="AF272" s="775">
        <v>157.77000000000001</v>
      </c>
      <c r="AG272" s="776"/>
      <c r="AH272" s="784"/>
      <c r="AI272" s="775">
        <v>157.77000000000001</v>
      </c>
      <c r="AJ272" s="776"/>
      <c r="AK272" s="784"/>
      <c r="AL272" s="775">
        <v>327.31</v>
      </c>
      <c r="AM272" s="776"/>
      <c r="AN272" s="784"/>
      <c r="AO272" s="775">
        <v>164.91</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17245.68</v>
      </c>
      <c r="F273" s="747"/>
      <c r="G273" s="757"/>
      <c r="H273" s="771">
        <v>1418.89</v>
      </c>
      <c r="I273" s="747"/>
      <c r="J273" s="757"/>
      <c r="K273" s="771">
        <v>1571.81</v>
      </c>
      <c r="L273" s="747"/>
      <c r="M273" s="757"/>
      <c r="N273" s="771">
        <v>1460.17</v>
      </c>
      <c r="O273" s="747"/>
      <c r="P273" s="757"/>
      <c r="Q273" s="771">
        <v>1612.47</v>
      </c>
      <c r="R273" s="747"/>
      <c r="S273" s="757"/>
      <c r="T273" s="771">
        <v>1501.65</v>
      </c>
      <c r="U273" s="747"/>
      <c r="V273" s="757"/>
      <c r="W273" s="771">
        <v>1485.99</v>
      </c>
      <c r="X273" s="747"/>
      <c r="Y273" s="757"/>
      <c r="Z273" s="771">
        <v>118.65</v>
      </c>
      <c r="AA273" s="747"/>
      <c r="AB273" s="757"/>
      <c r="AC273" s="771">
        <v>2157.6799999999998</v>
      </c>
      <c r="AD273" s="747"/>
      <c r="AE273" s="757"/>
      <c r="AF273" s="771">
        <v>1444.63</v>
      </c>
      <c r="AG273" s="747"/>
      <c r="AH273" s="757"/>
      <c r="AI273" s="771">
        <v>1640.35</v>
      </c>
      <c r="AJ273" s="747"/>
      <c r="AK273" s="757"/>
      <c r="AL273" s="771">
        <v>1468.27</v>
      </c>
      <c r="AM273" s="747"/>
      <c r="AN273" s="757"/>
      <c r="AO273" s="771">
        <v>1365.12</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3145.26</v>
      </c>
      <c r="F274" s="747"/>
      <c r="G274" s="757"/>
      <c r="H274" s="771">
        <v>106.13</v>
      </c>
      <c r="I274" s="747"/>
      <c r="J274" s="757"/>
      <c r="K274" s="771">
        <v>50.49</v>
      </c>
      <c r="L274" s="747"/>
      <c r="M274" s="757"/>
      <c r="N274" s="771">
        <v>182.73</v>
      </c>
      <c r="O274" s="747"/>
      <c r="P274" s="757"/>
      <c r="Q274" s="771">
        <v>509.97</v>
      </c>
      <c r="R274" s="747"/>
      <c r="S274" s="757"/>
      <c r="T274" s="771">
        <v>163.65</v>
      </c>
      <c r="U274" s="747"/>
      <c r="V274" s="757"/>
      <c r="W274" s="771">
        <v>257.27999999999997</v>
      </c>
      <c r="X274" s="747"/>
      <c r="Y274" s="757"/>
      <c r="Z274" s="771">
        <v>280.61</v>
      </c>
      <c r="AA274" s="747"/>
      <c r="AB274" s="757"/>
      <c r="AC274" s="771">
        <v>253.51</v>
      </c>
      <c r="AD274" s="747"/>
      <c r="AE274" s="757"/>
      <c r="AF274" s="771">
        <v>395.97</v>
      </c>
      <c r="AG274" s="747"/>
      <c r="AH274" s="757"/>
      <c r="AI274" s="771">
        <v>290.95999999999998</v>
      </c>
      <c r="AJ274" s="747"/>
      <c r="AK274" s="757"/>
      <c r="AL274" s="771">
        <v>409.31</v>
      </c>
      <c r="AM274" s="747"/>
      <c r="AN274" s="757"/>
      <c r="AO274" s="771">
        <v>244.65</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8681.18</v>
      </c>
      <c r="F275" s="776"/>
      <c r="G275" s="784"/>
      <c r="H275" s="775">
        <v>870.53</v>
      </c>
      <c r="I275" s="776"/>
      <c r="J275" s="784"/>
      <c r="K275" s="775">
        <v>608.6</v>
      </c>
      <c r="L275" s="776"/>
      <c r="M275" s="784"/>
      <c r="N275" s="775">
        <v>562.91</v>
      </c>
      <c r="O275" s="776"/>
      <c r="P275" s="784"/>
      <c r="Q275" s="775">
        <v>617.34</v>
      </c>
      <c r="R275" s="776"/>
      <c r="S275" s="784"/>
      <c r="T275" s="775">
        <v>699.86</v>
      </c>
      <c r="U275" s="776"/>
      <c r="V275" s="784"/>
      <c r="W275" s="775">
        <v>774.31</v>
      </c>
      <c r="X275" s="776"/>
      <c r="Y275" s="784"/>
      <c r="Z275" s="775">
        <v>824.74</v>
      </c>
      <c r="AA275" s="776"/>
      <c r="AB275" s="784"/>
      <c r="AC275" s="775">
        <v>380.15</v>
      </c>
      <c r="AD275" s="776"/>
      <c r="AE275" s="784"/>
      <c r="AF275" s="775">
        <v>890.04</v>
      </c>
      <c r="AG275" s="776"/>
      <c r="AH275" s="784"/>
      <c r="AI275" s="775">
        <v>964.68</v>
      </c>
      <c r="AJ275" s="776"/>
      <c r="AK275" s="784"/>
      <c r="AL275" s="775">
        <v>820.44</v>
      </c>
      <c r="AM275" s="776"/>
      <c r="AN275" s="784"/>
      <c r="AO275" s="775">
        <v>667.58</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43</v>
      </c>
      <c r="F277" s="747"/>
      <c r="G277" s="757"/>
      <c r="H277" s="771">
        <v>0</v>
      </c>
      <c r="I277" s="747"/>
      <c r="J277" s="757"/>
      <c r="K277" s="771">
        <v>0</v>
      </c>
      <c r="L277" s="747"/>
      <c r="M277" s="757"/>
      <c r="N277" s="771">
        <v>0</v>
      </c>
      <c r="O277" s="747"/>
      <c r="P277" s="757"/>
      <c r="Q277" s="771">
        <v>7.93</v>
      </c>
      <c r="R277" s="747"/>
      <c r="S277" s="757"/>
      <c r="T277" s="771">
        <v>0</v>
      </c>
      <c r="U277" s="747"/>
      <c r="V277" s="757"/>
      <c r="W277" s="771">
        <v>1</v>
      </c>
      <c r="X277" s="747"/>
      <c r="Y277" s="757"/>
      <c r="Z277" s="771">
        <v>2.8</v>
      </c>
      <c r="AA277" s="747"/>
      <c r="AB277" s="757"/>
      <c r="AC277" s="771">
        <v>18.48</v>
      </c>
      <c r="AD277" s="747"/>
      <c r="AE277" s="757"/>
      <c r="AF277" s="771">
        <v>0</v>
      </c>
      <c r="AG277" s="747"/>
      <c r="AH277" s="757"/>
      <c r="AI277" s="771">
        <v>0</v>
      </c>
      <c r="AJ277" s="747"/>
      <c r="AK277" s="757"/>
      <c r="AL277" s="771">
        <v>0</v>
      </c>
      <c r="AM277" s="747"/>
      <c r="AN277" s="757"/>
      <c r="AO277" s="771">
        <v>12.79</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1676.52</v>
      </c>
      <c r="F279" s="747"/>
      <c r="G279" s="757"/>
      <c r="H279" s="771">
        <v>93.02</v>
      </c>
      <c r="I279" s="747"/>
      <c r="J279" s="757"/>
      <c r="K279" s="771">
        <v>291.27</v>
      </c>
      <c r="L279" s="747"/>
      <c r="M279" s="757"/>
      <c r="N279" s="771">
        <v>40.75</v>
      </c>
      <c r="O279" s="747"/>
      <c r="P279" s="757"/>
      <c r="Q279" s="771">
        <v>83.36</v>
      </c>
      <c r="R279" s="747"/>
      <c r="S279" s="757"/>
      <c r="T279" s="771">
        <v>193.7</v>
      </c>
      <c r="U279" s="747"/>
      <c r="V279" s="757"/>
      <c r="W279" s="771">
        <v>84.87</v>
      </c>
      <c r="X279" s="747"/>
      <c r="Y279" s="757"/>
      <c r="Z279" s="771">
        <v>77.989999999999995</v>
      </c>
      <c r="AA279" s="747"/>
      <c r="AB279" s="757"/>
      <c r="AC279" s="771">
        <v>225.24</v>
      </c>
      <c r="AD279" s="747"/>
      <c r="AE279" s="757"/>
      <c r="AF279" s="771">
        <v>137.44</v>
      </c>
      <c r="AG279" s="747"/>
      <c r="AH279" s="757"/>
      <c r="AI279" s="771">
        <v>82.59</v>
      </c>
      <c r="AJ279" s="747"/>
      <c r="AK279" s="757"/>
      <c r="AL279" s="771">
        <v>276.14</v>
      </c>
      <c r="AM279" s="747"/>
      <c r="AN279" s="757"/>
      <c r="AO279" s="771">
        <v>90.15</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353.69999999999993</v>
      </c>
      <c r="F280" s="747"/>
      <c r="G280" s="757"/>
      <c r="H280" s="771">
        <v>37.409999999999997</v>
      </c>
      <c r="I280" s="747"/>
      <c r="J280" s="757"/>
      <c r="K280" s="771">
        <v>23.57</v>
      </c>
      <c r="L280" s="747"/>
      <c r="M280" s="757"/>
      <c r="N280" s="771">
        <v>28.78</v>
      </c>
      <c r="O280" s="747"/>
      <c r="P280" s="757"/>
      <c r="Q280" s="771">
        <v>23.66</v>
      </c>
      <c r="R280" s="747"/>
      <c r="S280" s="757"/>
      <c r="T280" s="771">
        <v>24.27</v>
      </c>
      <c r="U280" s="747"/>
      <c r="V280" s="757"/>
      <c r="W280" s="771">
        <v>25.41</v>
      </c>
      <c r="X280" s="747"/>
      <c r="Y280" s="757"/>
      <c r="Z280" s="771">
        <v>26.3</v>
      </c>
      <c r="AA280" s="747"/>
      <c r="AB280" s="757"/>
      <c r="AC280" s="771">
        <v>44.29</v>
      </c>
      <c r="AD280" s="747"/>
      <c r="AE280" s="757"/>
      <c r="AF280" s="771">
        <v>27.51</v>
      </c>
      <c r="AG280" s="747"/>
      <c r="AH280" s="757"/>
      <c r="AI280" s="771">
        <v>39.97</v>
      </c>
      <c r="AJ280" s="747"/>
      <c r="AK280" s="757"/>
      <c r="AL280" s="771">
        <v>26.78</v>
      </c>
      <c r="AM280" s="747"/>
      <c r="AN280" s="757"/>
      <c r="AO280" s="771">
        <v>25.75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196.06000000000006</v>
      </c>
      <c r="F281" s="747"/>
      <c r="G281" s="757"/>
      <c r="H281" s="771">
        <v>34.840000000000003</v>
      </c>
      <c r="I281" s="747"/>
      <c r="J281" s="757"/>
      <c r="K281" s="771">
        <v>48.57</v>
      </c>
      <c r="L281" s="747"/>
      <c r="M281" s="757"/>
      <c r="N281" s="771">
        <v>60.87</v>
      </c>
      <c r="O281" s="747"/>
      <c r="P281" s="757"/>
      <c r="Q281" s="771">
        <v>2.31</v>
      </c>
      <c r="R281" s="747"/>
      <c r="S281" s="757"/>
      <c r="T281" s="771">
        <v>2.31</v>
      </c>
      <c r="U281" s="747"/>
      <c r="V281" s="757"/>
      <c r="W281" s="771">
        <v>7.21</v>
      </c>
      <c r="X281" s="747"/>
      <c r="Y281" s="757"/>
      <c r="Z281" s="771">
        <v>7.21</v>
      </c>
      <c r="AA281" s="747"/>
      <c r="AB281" s="757"/>
      <c r="AC281" s="771">
        <v>2.31</v>
      </c>
      <c r="AD281" s="747"/>
      <c r="AE281" s="757"/>
      <c r="AF281" s="771">
        <v>7.21</v>
      </c>
      <c r="AG281" s="747"/>
      <c r="AH281" s="757"/>
      <c r="AI281" s="771">
        <v>7.21</v>
      </c>
      <c r="AJ281" s="747"/>
      <c r="AK281" s="757"/>
      <c r="AL281" s="771">
        <v>8.8000000000000007</v>
      </c>
      <c r="AM281" s="747"/>
      <c r="AN281" s="757"/>
      <c r="AO281" s="771">
        <v>7.21</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473.89</v>
      </c>
      <c r="F282" s="747"/>
      <c r="G282" s="757"/>
      <c r="H282" s="771">
        <v>22.59</v>
      </c>
      <c r="I282" s="747"/>
      <c r="J282" s="757"/>
      <c r="K282" s="771">
        <v>44.98</v>
      </c>
      <c r="L282" s="747"/>
      <c r="M282" s="757"/>
      <c r="N282" s="771">
        <v>56.01</v>
      </c>
      <c r="O282" s="747"/>
      <c r="P282" s="757"/>
      <c r="Q282" s="771">
        <v>44.2</v>
      </c>
      <c r="R282" s="747"/>
      <c r="S282" s="757"/>
      <c r="T282" s="771">
        <v>23.05</v>
      </c>
      <c r="U282" s="747"/>
      <c r="V282" s="757"/>
      <c r="W282" s="771">
        <v>27.09</v>
      </c>
      <c r="X282" s="747"/>
      <c r="Y282" s="757"/>
      <c r="Z282" s="771">
        <v>41.24</v>
      </c>
      <c r="AA282" s="747"/>
      <c r="AB282" s="757"/>
      <c r="AC282" s="771">
        <v>11.49</v>
      </c>
      <c r="AD282" s="747"/>
      <c r="AE282" s="757"/>
      <c r="AF282" s="771">
        <v>33.26</v>
      </c>
      <c r="AG282" s="747"/>
      <c r="AH282" s="757"/>
      <c r="AI282" s="771">
        <v>51.31</v>
      </c>
      <c r="AJ282" s="747"/>
      <c r="AK282" s="757"/>
      <c r="AL282" s="771">
        <v>97.74</v>
      </c>
      <c r="AM282" s="747"/>
      <c r="AN282" s="757"/>
      <c r="AO282" s="771">
        <v>20.93</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942.53</v>
      </c>
      <c r="F283" s="747"/>
      <c r="G283" s="757"/>
      <c r="H283" s="771">
        <v>53.83</v>
      </c>
      <c r="I283" s="747"/>
      <c r="J283" s="757"/>
      <c r="K283" s="771">
        <v>22.33</v>
      </c>
      <c r="L283" s="747"/>
      <c r="M283" s="757"/>
      <c r="N283" s="771">
        <v>92.33</v>
      </c>
      <c r="O283" s="747"/>
      <c r="P283" s="757"/>
      <c r="Q283" s="771">
        <v>22.33</v>
      </c>
      <c r="R283" s="747"/>
      <c r="S283" s="757"/>
      <c r="T283" s="771">
        <v>69.58</v>
      </c>
      <c r="U283" s="747"/>
      <c r="V283" s="757"/>
      <c r="W283" s="771">
        <v>22.33</v>
      </c>
      <c r="X283" s="747"/>
      <c r="Y283" s="757"/>
      <c r="Z283" s="771">
        <v>22.33</v>
      </c>
      <c r="AA283" s="747"/>
      <c r="AB283" s="757"/>
      <c r="AC283" s="771">
        <v>22.33</v>
      </c>
      <c r="AD283" s="747"/>
      <c r="AE283" s="757"/>
      <c r="AF283" s="771">
        <v>146.1</v>
      </c>
      <c r="AG283" s="747"/>
      <c r="AH283" s="757"/>
      <c r="AI283" s="771">
        <v>290.72000000000003</v>
      </c>
      <c r="AJ283" s="747"/>
      <c r="AK283" s="757"/>
      <c r="AL283" s="771">
        <v>155.99</v>
      </c>
      <c r="AM283" s="747"/>
      <c r="AN283" s="757"/>
      <c r="AO283" s="771">
        <v>22.33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2632.08</v>
      </c>
      <c r="F284" s="747"/>
      <c r="G284" s="757"/>
      <c r="H284" s="771">
        <v>171.56</v>
      </c>
      <c r="I284" s="747"/>
      <c r="J284" s="757"/>
      <c r="K284" s="771">
        <v>135.44999999999999</v>
      </c>
      <c r="L284" s="747"/>
      <c r="M284" s="757"/>
      <c r="N284" s="771">
        <v>178.57</v>
      </c>
      <c r="O284" s="747"/>
      <c r="P284" s="757"/>
      <c r="Q284" s="771">
        <v>237.63</v>
      </c>
      <c r="R284" s="747"/>
      <c r="S284" s="757"/>
      <c r="T284" s="771">
        <v>263.92</v>
      </c>
      <c r="U284" s="747"/>
      <c r="V284" s="757"/>
      <c r="W284" s="771">
        <v>186.54</v>
      </c>
      <c r="X284" s="747"/>
      <c r="Y284" s="757"/>
      <c r="Z284" s="771">
        <v>206.61</v>
      </c>
      <c r="AA284" s="747"/>
      <c r="AB284" s="757"/>
      <c r="AC284" s="771">
        <v>198.68</v>
      </c>
      <c r="AD284" s="747"/>
      <c r="AE284" s="757"/>
      <c r="AF284" s="771">
        <v>181.51</v>
      </c>
      <c r="AG284" s="747"/>
      <c r="AH284" s="757"/>
      <c r="AI284" s="771">
        <v>265.72000000000003</v>
      </c>
      <c r="AJ284" s="747"/>
      <c r="AK284" s="757"/>
      <c r="AL284" s="771">
        <v>375.98</v>
      </c>
      <c r="AM284" s="747"/>
      <c r="AN284" s="757"/>
      <c r="AO284" s="771">
        <v>229.91</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52774.439999999995</v>
      </c>
      <c r="F288" s="790" t="s">
        <v>119</v>
      </c>
      <c r="G288" s="791">
        <v>0</v>
      </c>
      <c r="H288" s="792">
        <v>3609.4800000000005</v>
      </c>
      <c r="I288" s="790" t="s">
        <v>119</v>
      </c>
      <c r="J288" s="791">
        <v>0</v>
      </c>
      <c r="K288" s="792">
        <v>4247.92</v>
      </c>
      <c r="L288" s="790" t="s">
        <v>119</v>
      </c>
      <c r="M288" s="791">
        <v>0</v>
      </c>
      <c r="N288" s="792">
        <v>1182.0900000000001</v>
      </c>
      <c r="O288" s="790" t="s">
        <v>119</v>
      </c>
      <c r="P288" s="791">
        <v>0</v>
      </c>
      <c r="Q288" s="792">
        <v>4343.01</v>
      </c>
      <c r="R288" s="790" t="s">
        <v>119</v>
      </c>
      <c r="S288" s="791">
        <v>0</v>
      </c>
      <c r="T288" s="792">
        <v>3664.11</v>
      </c>
      <c r="U288" s="790" t="s">
        <v>119</v>
      </c>
      <c r="V288" s="791">
        <v>0</v>
      </c>
      <c r="W288" s="792">
        <v>3954.7999999999997</v>
      </c>
      <c r="X288" s="790" t="s">
        <v>119</v>
      </c>
      <c r="Y288" s="791">
        <v>0</v>
      </c>
      <c r="Z288" s="792">
        <v>2995.6600000000003</v>
      </c>
      <c r="AA288" s="790" t="s">
        <v>119</v>
      </c>
      <c r="AB288" s="791">
        <v>0</v>
      </c>
      <c r="AC288" s="792">
        <v>4391.22</v>
      </c>
      <c r="AD288" s="790" t="s">
        <v>119</v>
      </c>
      <c r="AE288" s="791">
        <v>0</v>
      </c>
      <c r="AF288" s="792">
        <v>5792.22</v>
      </c>
      <c r="AG288" s="790" t="s">
        <v>119</v>
      </c>
      <c r="AH288" s="791">
        <v>0</v>
      </c>
      <c r="AI288" s="792">
        <v>6344.9000000000015</v>
      </c>
      <c r="AJ288" s="790" t="s">
        <v>119</v>
      </c>
      <c r="AK288" s="791">
        <v>0</v>
      </c>
      <c r="AL288" s="792">
        <v>6975.7900000000009</v>
      </c>
      <c r="AM288" s="790" t="s">
        <v>119</v>
      </c>
      <c r="AN288" s="791">
        <v>0</v>
      </c>
      <c r="AO288" s="792">
        <v>5273.2399999999989</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113207.1</v>
      </c>
      <c r="F290" s="777" t="s">
        <v>119</v>
      </c>
      <c r="G290" s="815">
        <v>0</v>
      </c>
      <c r="H290" s="789">
        <v>11532.39</v>
      </c>
      <c r="I290" s="777" t="s">
        <v>119</v>
      </c>
      <c r="J290" s="815">
        <v>0</v>
      </c>
      <c r="K290" s="789">
        <v>13406.890000000001</v>
      </c>
      <c r="L290" s="777" t="s">
        <v>119</v>
      </c>
      <c r="M290" s="815">
        <v>0</v>
      </c>
      <c r="N290" s="789">
        <v>4499.92</v>
      </c>
      <c r="O290" s="777" t="s">
        <v>119</v>
      </c>
      <c r="P290" s="815">
        <v>0</v>
      </c>
      <c r="Q290" s="789">
        <v>7129.55</v>
      </c>
      <c r="R290" s="777" t="s">
        <v>119</v>
      </c>
      <c r="S290" s="815">
        <v>0</v>
      </c>
      <c r="T290" s="789">
        <v>7267.37</v>
      </c>
      <c r="U290" s="777" t="s">
        <v>119</v>
      </c>
      <c r="V290" s="815">
        <v>0</v>
      </c>
      <c r="W290" s="789">
        <v>7020.2899999999991</v>
      </c>
      <c r="X290" s="777" t="s">
        <v>119</v>
      </c>
      <c r="Y290" s="815">
        <v>0</v>
      </c>
      <c r="Z290" s="789">
        <v>7440.4</v>
      </c>
      <c r="AA290" s="777" t="s">
        <v>119</v>
      </c>
      <c r="AB290" s="815">
        <v>0</v>
      </c>
      <c r="AC290" s="789">
        <v>7077.38</v>
      </c>
      <c r="AD290" s="777" t="s">
        <v>119</v>
      </c>
      <c r="AE290" s="815">
        <v>0</v>
      </c>
      <c r="AF290" s="789">
        <v>8303.76</v>
      </c>
      <c r="AG290" s="777" t="s">
        <v>119</v>
      </c>
      <c r="AH290" s="815">
        <v>0</v>
      </c>
      <c r="AI290" s="789">
        <v>12399.58</v>
      </c>
      <c r="AJ290" s="777" t="s">
        <v>119</v>
      </c>
      <c r="AK290" s="815">
        <v>0</v>
      </c>
      <c r="AL290" s="789">
        <v>13904.960000000003</v>
      </c>
      <c r="AM290" s="777" t="s">
        <v>119</v>
      </c>
      <c r="AN290" s="815">
        <v>0</v>
      </c>
      <c r="AO290" s="789">
        <v>13224.609999999997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-46545.120000000126</v>
      </c>
      <c r="F292" s="816"/>
      <c r="G292" s="817"/>
      <c r="H292" s="798">
        <v>6286.2999999999993</v>
      </c>
      <c r="I292" s="816"/>
      <c r="J292" s="817"/>
      <c r="K292" s="798">
        <v>-5682.1800000000012</v>
      </c>
      <c r="L292" s="816"/>
      <c r="M292" s="817"/>
      <c r="N292" s="798">
        <v>1934.4399999999996</v>
      </c>
      <c r="O292" s="816"/>
      <c r="P292" s="817"/>
      <c r="Q292" s="798">
        <v>10106.709999999901</v>
      </c>
      <c r="R292" s="816"/>
      <c r="S292" s="817"/>
      <c r="T292" s="798">
        <v>-5785.45</v>
      </c>
      <c r="U292" s="816"/>
      <c r="V292" s="817"/>
      <c r="W292" s="798">
        <v>-6518.0999999999995</v>
      </c>
      <c r="X292" s="816"/>
      <c r="Y292" s="817"/>
      <c r="Z292" s="798">
        <v>-6574.36</v>
      </c>
      <c r="AA292" s="816"/>
      <c r="AB292" s="817"/>
      <c r="AC292" s="798">
        <v>-6459.33</v>
      </c>
      <c r="AD292" s="816"/>
      <c r="AE292" s="817"/>
      <c r="AF292" s="798">
        <v>-3633.1700000000101</v>
      </c>
      <c r="AG292" s="816"/>
      <c r="AH292" s="817"/>
      <c r="AI292" s="798">
        <v>-8569.5500000000102</v>
      </c>
      <c r="AJ292" s="816"/>
      <c r="AK292" s="817"/>
      <c r="AL292" s="798">
        <v>-11770.720000000003</v>
      </c>
      <c r="AM292" s="816"/>
      <c r="AN292" s="817"/>
      <c r="AO292" s="798">
        <v>-9879.7099999999973</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3935</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1118224.129999999</v>
      </c>
      <c r="D298" s="813">
        <v>0.34679176526086947</v>
      </c>
      <c r="E298" s="758">
        <v>387790.91999999963</v>
      </c>
      <c r="F298" s="820">
        <v>73145.45</v>
      </c>
      <c r="G298" s="813">
        <v>0.35203638777258051</v>
      </c>
      <c r="H298" s="771">
        <v>25749.859999999899</v>
      </c>
      <c r="I298" s="820">
        <v>51629.45</v>
      </c>
      <c r="J298" s="813">
        <v>0.37193597839992482</v>
      </c>
      <c r="K298" s="771">
        <v>19202.849999999999</v>
      </c>
      <c r="L298" s="820">
        <v>68701.960000000006</v>
      </c>
      <c r="M298" s="813">
        <v>0.35457503686939934</v>
      </c>
      <c r="N298" s="771">
        <v>24360</v>
      </c>
      <c r="O298" s="820">
        <v>94158.54</v>
      </c>
      <c r="P298" s="813">
        <v>0.39031595009863046</v>
      </c>
      <c r="Q298" s="771">
        <v>36751.5799999999</v>
      </c>
      <c r="R298" s="820">
        <v>109437.56</v>
      </c>
      <c r="S298" s="813">
        <v>0.37261000702135444</v>
      </c>
      <c r="T298" s="771">
        <v>40777.529999999897</v>
      </c>
      <c r="U298" s="820">
        <v>82983.19</v>
      </c>
      <c r="V298" s="813">
        <v>0.36067557778870635</v>
      </c>
      <c r="W298" s="771">
        <v>29930.01</v>
      </c>
      <c r="X298" s="820">
        <v>97246.46</v>
      </c>
      <c r="Y298" s="813">
        <v>0.35566508025073607</v>
      </c>
      <c r="Z298" s="771">
        <v>34587.17</v>
      </c>
      <c r="AA298" s="820">
        <v>101413.079999999</v>
      </c>
      <c r="AB298" s="813">
        <v>0.36329633218910484</v>
      </c>
      <c r="AC298" s="771">
        <v>36842.999999999898</v>
      </c>
      <c r="AD298" s="820">
        <v>93978.35</v>
      </c>
      <c r="AE298" s="813">
        <v>0.36370547046207985</v>
      </c>
      <c r="AF298" s="771">
        <v>34180.44</v>
      </c>
      <c r="AG298" s="820">
        <v>112041.65</v>
      </c>
      <c r="AH298" s="813">
        <v>0.33378230327739727</v>
      </c>
      <c r="AI298" s="771">
        <v>37397.519999999997</v>
      </c>
      <c r="AJ298" s="820">
        <v>160638.01</v>
      </c>
      <c r="AK298" s="813">
        <v>0.28651469225745513</v>
      </c>
      <c r="AL298" s="771">
        <v>46025.15</v>
      </c>
      <c r="AM298" s="820">
        <v>72850.429999999993</v>
      </c>
      <c r="AN298" s="813">
        <v>0.30179382606252292</v>
      </c>
      <c r="AO298" s="771">
        <v>21985.81</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193233.89999999991</v>
      </c>
      <c r="D299" s="813">
        <v>0.24842649245292814</v>
      </c>
      <c r="E299" s="758">
        <v>48004.419999999845</v>
      </c>
      <c r="F299" s="820">
        <v>54640.92</v>
      </c>
      <c r="G299" s="813">
        <v>0.2804196927870175</v>
      </c>
      <c r="H299" s="771">
        <v>15322.39</v>
      </c>
      <c r="I299" s="820">
        <v>57302.1899999999</v>
      </c>
      <c r="J299" s="813">
        <v>0.23295130604955802</v>
      </c>
      <c r="K299" s="771">
        <v>13348.619999999901</v>
      </c>
      <c r="L299" s="820">
        <v>12672.27</v>
      </c>
      <c r="M299" s="813">
        <v>0.23140447607255843</v>
      </c>
      <c r="N299" s="771">
        <v>2932.42</v>
      </c>
      <c r="O299" s="820">
        <v>39357.14</v>
      </c>
      <c r="P299" s="813">
        <v>0.23324890985473004</v>
      </c>
      <c r="Q299" s="771">
        <v>9180.0099999999893</v>
      </c>
      <c r="R299" s="820">
        <v>254.91</v>
      </c>
      <c r="S299" s="813">
        <v>0.23086579577105606</v>
      </c>
      <c r="T299" s="771">
        <v>58.849999999999902</v>
      </c>
      <c r="U299" s="820">
        <v>0</v>
      </c>
      <c r="V299" s="813">
        <v>0</v>
      </c>
      <c r="W299" s="771">
        <v>0</v>
      </c>
      <c r="X299" s="820">
        <v>0</v>
      </c>
      <c r="Y299" s="813">
        <v>0</v>
      </c>
      <c r="Z299" s="771">
        <v>0</v>
      </c>
      <c r="AA299" s="820">
        <v>5342.29</v>
      </c>
      <c r="AB299" s="813">
        <v>0.23076620700111561</v>
      </c>
      <c r="AC299" s="771">
        <v>1232.8199999999899</v>
      </c>
      <c r="AD299" s="820">
        <v>5777.21</v>
      </c>
      <c r="AE299" s="813">
        <v>0.23101808658504538</v>
      </c>
      <c r="AF299" s="771">
        <v>1334.6399999999901</v>
      </c>
      <c r="AG299" s="820">
        <v>4751.8500000000004</v>
      </c>
      <c r="AH299" s="813">
        <v>0.23077117333249153</v>
      </c>
      <c r="AI299" s="771">
        <v>1096.5899999999999</v>
      </c>
      <c r="AJ299" s="820">
        <v>5618.74</v>
      </c>
      <c r="AK299" s="813">
        <v>0.27197200795907805</v>
      </c>
      <c r="AL299" s="771">
        <v>1528.1399999999901</v>
      </c>
      <c r="AM299" s="820">
        <v>7516.38</v>
      </c>
      <c r="AN299" s="813">
        <v>0.26208627025243403</v>
      </c>
      <c r="AO299" s="771">
        <v>1969.9399999999901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512439.38999999996</v>
      </c>
      <c r="D300" s="813">
        <v>0.23286545165858516</v>
      </c>
      <c r="E300" s="758">
        <v>119329.42999999986</v>
      </c>
      <c r="F300" s="820">
        <v>28846.55</v>
      </c>
      <c r="G300" s="813">
        <v>0.23660507062369643</v>
      </c>
      <c r="H300" s="771">
        <v>6825.2399999999898</v>
      </c>
      <c r="I300" s="820">
        <v>28873.4</v>
      </c>
      <c r="J300" s="813">
        <v>0.23687234617329445</v>
      </c>
      <c r="K300" s="771">
        <v>6839.31</v>
      </c>
      <c r="L300" s="820">
        <v>30536.99</v>
      </c>
      <c r="M300" s="813">
        <v>0.23087606211352199</v>
      </c>
      <c r="N300" s="771">
        <v>7050.26</v>
      </c>
      <c r="O300" s="820">
        <v>30357.78</v>
      </c>
      <c r="P300" s="813">
        <v>0.24208786017949929</v>
      </c>
      <c r="Q300" s="771">
        <v>7349.25</v>
      </c>
      <c r="R300" s="820">
        <v>42120.959999999999</v>
      </c>
      <c r="S300" s="813">
        <v>0.23626123431184853</v>
      </c>
      <c r="T300" s="771">
        <v>9951.5499999999993</v>
      </c>
      <c r="U300" s="820">
        <v>45095.6</v>
      </c>
      <c r="V300" s="813">
        <v>0.23370594913916215</v>
      </c>
      <c r="W300" s="771">
        <v>10539.11</v>
      </c>
      <c r="X300" s="820">
        <v>63908.639999999999</v>
      </c>
      <c r="Y300" s="813">
        <v>0.23059511202241043</v>
      </c>
      <c r="Z300" s="771">
        <v>14737.0199999999</v>
      </c>
      <c r="AA300" s="820">
        <v>58003.13</v>
      </c>
      <c r="AB300" s="813">
        <v>0.2284143976368172</v>
      </c>
      <c r="AC300" s="771">
        <v>13248.75</v>
      </c>
      <c r="AD300" s="820">
        <v>45362.87</v>
      </c>
      <c r="AE300" s="813">
        <v>0.23190860719350428</v>
      </c>
      <c r="AF300" s="771">
        <v>10520.04</v>
      </c>
      <c r="AG300" s="820">
        <v>43545.83</v>
      </c>
      <c r="AH300" s="813">
        <v>0.22732785205839456</v>
      </c>
      <c r="AI300" s="771">
        <v>9899.18</v>
      </c>
      <c r="AJ300" s="820">
        <v>45564.35</v>
      </c>
      <c r="AK300" s="813">
        <v>0.23116120387978759</v>
      </c>
      <c r="AL300" s="771">
        <v>10532.71</v>
      </c>
      <c r="AM300" s="820">
        <v>50223.29</v>
      </c>
      <c r="AN300" s="813">
        <v>0.23568766602108304</v>
      </c>
      <c r="AO300" s="771">
        <v>11837.01</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671684.24</v>
      </c>
      <c r="D301" s="813">
        <v>0.2857013438338224</v>
      </c>
      <c r="E301" s="758">
        <v>191901.08999999968</v>
      </c>
      <c r="F301" s="820">
        <v>45391.06</v>
      </c>
      <c r="G301" s="813">
        <v>0.29283233306294015</v>
      </c>
      <c r="H301" s="771">
        <v>13291.969999999899</v>
      </c>
      <c r="I301" s="820">
        <v>66311.88</v>
      </c>
      <c r="J301" s="813">
        <v>0.23333013631946489</v>
      </c>
      <c r="K301" s="771">
        <v>15472.56</v>
      </c>
      <c r="L301" s="820">
        <v>52349.15</v>
      </c>
      <c r="M301" s="813">
        <v>0.26464345648401166</v>
      </c>
      <c r="N301" s="771">
        <v>13853.86</v>
      </c>
      <c r="O301" s="820">
        <v>42372.56</v>
      </c>
      <c r="P301" s="813">
        <v>0.28409588658320151</v>
      </c>
      <c r="Q301" s="771">
        <v>12037.869999999901</v>
      </c>
      <c r="R301" s="820">
        <v>59301.120000000003</v>
      </c>
      <c r="S301" s="813">
        <v>0.29746706301668502</v>
      </c>
      <c r="T301" s="771">
        <v>17640.13</v>
      </c>
      <c r="U301" s="820">
        <v>25255.49</v>
      </c>
      <c r="V301" s="813">
        <v>0.326486241209337</v>
      </c>
      <c r="W301" s="771">
        <v>8245.57</v>
      </c>
      <c r="X301" s="820">
        <v>60027.4</v>
      </c>
      <c r="Y301" s="813">
        <v>0.31739355694232968</v>
      </c>
      <c r="Z301" s="771">
        <v>19052.310000000001</v>
      </c>
      <c r="AA301" s="820">
        <v>59684.08</v>
      </c>
      <c r="AB301" s="813">
        <v>0.26119310208015267</v>
      </c>
      <c r="AC301" s="771">
        <v>15589.07</v>
      </c>
      <c r="AD301" s="820">
        <v>68022.740000000005</v>
      </c>
      <c r="AE301" s="813">
        <v>0.34120001634747438</v>
      </c>
      <c r="AF301" s="771">
        <v>23209.360000000001</v>
      </c>
      <c r="AG301" s="820">
        <v>69951.149999999994</v>
      </c>
      <c r="AH301" s="813">
        <v>0.2724592805121846</v>
      </c>
      <c r="AI301" s="771">
        <v>19058.839999999898</v>
      </c>
      <c r="AJ301" s="820">
        <v>70580.36</v>
      </c>
      <c r="AK301" s="813">
        <v>0.28399415928170385</v>
      </c>
      <c r="AL301" s="771">
        <v>20044.41</v>
      </c>
      <c r="AM301" s="820">
        <v>52437.25</v>
      </c>
      <c r="AN301" s="813">
        <v>0.274711965253708</v>
      </c>
      <c r="AO301" s="771">
        <v>14405.14</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232112.65</v>
      </c>
      <c r="D302" s="813">
        <v>0.26565923916684392</v>
      </c>
      <c r="E302" s="758">
        <v>61662.869999999937</v>
      </c>
      <c r="F302" s="820">
        <v>13905.03</v>
      </c>
      <c r="G302" s="813">
        <v>0.32062929745566887</v>
      </c>
      <c r="H302" s="771">
        <v>4458.3599999999997</v>
      </c>
      <c r="I302" s="820">
        <v>15763.84</v>
      </c>
      <c r="J302" s="813">
        <v>0.28004470991839553</v>
      </c>
      <c r="K302" s="771">
        <v>4414.58</v>
      </c>
      <c r="L302" s="820">
        <v>13569.47</v>
      </c>
      <c r="M302" s="813">
        <v>0.29111232789489938</v>
      </c>
      <c r="N302" s="771">
        <v>3950.24</v>
      </c>
      <c r="O302" s="820">
        <v>21891.26</v>
      </c>
      <c r="P302" s="813">
        <v>0.31894829260627261</v>
      </c>
      <c r="Q302" s="771">
        <v>6982.1799999999903</v>
      </c>
      <c r="R302" s="820">
        <v>21253.68</v>
      </c>
      <c r="S302" s="813">
        <v>0.22581360028004513</v>
      </c>
      <c r="T302" s="771">
        <v>4799.3699999999899</v>
      </c>
      <c r="U302" s="820">
        <v>18047.939999999999</v>
      </c>
      <c r="V302" s="813">
        <v>0.31801801202796498</v>
      </c>
      <c r="W302" s="771">
        <v>5739.5699999999897</v>
      </c>
      <c r="X302" s="820">
        <v>16945.259999999998</v>
      </c>
      <c r="Y302" s="813">
        <v>0.2982108270985509</v>
      </c>
      <c r="Z302" s="771">
        <v>5053.2599999999902</v>
      </c>
      <c r="AA302" s="820">
        <v>21856.25</v>
      </c>
      <c r="AB302" s="813">
        <v>0.24229270803545894</v>
      </c>
      <c r="AC302" s="771">
        <v>5295.61</v>
      </c>
      <c r="AD302" s="820">
        <v>19863.93</v>
      </c>
      <c r="AE302" s="813">
        <v>0.2095733321653872</v>
      </c>
      <c r="AF302" s="771">
        <v>4162.95</v>
      </c>
      <c r="AG302" s="820">
        <v>19722.91</v>
      </c>
      <c r="AH302" s="813">
        <v>0.2671674717371828</v>
      </c>
      <c r="AI302" s="771">
        <v>5269.32</v>
      </c>
      <c r="AJ302" s="820">
        <v>32301.17</v>
      </c>
      <c r="AK302" s="813">
        <v>0.21911373488947894</v>
      </c>
      <c r="AL302" s="771">
        <v>7077.6299999999901</v>
      </c>
      <c r="AM302" s="820">
        <v>16991.91</v>
      </c>
      <c r="AN302" s="813">
        <v>0.26246607944604167</v>
      </c>
      <c r="AO302" s="771">
        <v>4459.7999999999902</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1871696.81</v>
      </c>
      <c r="D303" s="813">
        <v>0.13797422671249795</v>
      </c>
      <c r="E303" s="758">
        <v>258245.9199999992</v>
      </c>
      <c r="F303" s="820">
        <v>170526</v>
      </c>
      <c r="G303" s="813">
        <v>0.15083887501026177</v>
      </c>
      <c r="H303" s="771">
        <v>25721.949999999899</v>
      </c>
      <c r="I303" s="820">
        <v>139767.99</v>
      </c>
      <c r="J303" s="813">
        <v>0.15477871578463639</v>
      </c>
      <c r="K303" s="771">
        <v>21633.109999999899</v>
      </c>
      <c r="L303" s="820">
        <v>124476.97</v>
      </c>
      <c r="M303" s="813">
        <v>0.13203896270932605</v>
      </c>
      <c r="N303" s="771">
        <v>16435.809999999899</v>
      </c>
      <c r="O303" s="820">
        <v>169839.65</v>
      </c>
      <c r="P303" s="813">
        <v>0.13764453706775717</v>
      </c>
      <c r="Q303" s="771">
        <v>23377.499999999902</v>
      </c>
      <c r="R303" s="820">
        <v>144594.10999999999</v>
      </c>
      <c r="S303" s="813">
        <v>0.16606506309281827</v>
      </c>
      <c r="T303" s="771">
        <v>24012.029999999901</v>
      </c>
      <c r="U303" s="820">
        <v>132980.6</v>
      </c>
      <c r="V303" s="813">
        <v>0.13376725627647942</v>
      </c>
      <c r="W303" s="771">
        <v>17788.45</v>
      </c>
      <c r="X303" s="820">
        <v>143365.44</v>
      </c>
      <c r="Y303" s="813">
        <v>0.13637603316392011</v>
      </c>
      <c r="Z303" s="771">
        <v>19551.61</v>
      </c>
      <c r="AA303" s="820">
        <v>155623.24</v>
      </c>
      <c r="AB303" s="813">
        <v>0.14075224240286929</v>
      </c>
      <c r="AC303" s="771">
        <v>21904.319999999901</v>
      </c>
      <c r="AD303" s="820">
        <v>160121.54</v>
      </c>
      <c r="AE303" s="813">
        <v>0.1305157319870893</v>
      </c>
      <c r="AF303" s="771">
        <v>20898.38</v>
      </c>
      <c r="AG303" s="820">
        <v>221066.25</v>
      </c>
      <c r="AH303" s="813">
        <v>0.12508951502094914</v>
      </c>
      <c r="AI303" s="771">
        <v>27653.069999999901</v>
      </c>
      <c r="AJ303" s="820">
        <v>140151.78</v>
      </c>
      <c r="AK303" s="813">
        <v>0.13822022096330064</v>
      </c>
      <c r="AL303" s="771">
        <v>19371.809999999899</v>
      </c>
      <c r="AM303" s="820">
        <v>169183.24</v>
      </c>
      <c r="AN303" s="813">
        <v>0.11761141351826578</v>
      </c>
      <c r="AO303" s="771">
        <v>19897.88</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128387.12999999989</v>
      </c>
      <c r="F305" s="820">
        <v>0</v>
      </c>
      <c r="G305" s="813">
        <v>0</v>
      </c>
      <c r="H305" s="771">
        <v>4347.8899999999903</v>
      </c>
      <c r="I305" s="820">
        <v>0</v>
      </c>
      <c r="J305" s="813">
        <v>0</v>
      </c>
      <c r="K305" s="771">
        <v>4787.8599999999997</v>
      </c>
      <c r="L305" s="820">
        <v>0</v>
      </c>
      <c r="M305" s="813">
        <v>0</v>
      </c>
      <c r="N305" s="771">
        <v>31809.05</v>
      </c>
      <c r="O305" s="820">
        <v>0</v>
      </c>
      <c r="P305" s="813">
        <v>0</v>
      </c>
      <c r="Q305" s="771">
        <v>17862.830000000002</v>
      </c>
      <c r="R305" s="820">
        <v>0</v>
      </c>
      <c r="S305" s="813">
        <v>0</v>
      </c>
      <c r="T305" s="771">
        <v>12321.78</v>
      </c>
      <c r="U305" s="820">
        <v>0</v>
      </c>
      <c r="V305" s="813">
        <v>0</v>
      </c>
      <c r="W305" s="771">
        <v>5300.27</v>
      </c>
      <c r="X305" s="820">
        <v>0</v>
      </c>
      <c r="Y305" s="813">
        <v>0</v>
      </c>
      <c r="Z305" s="771">
        <v>3691.28</v>
      </c>
      <c r="AA305" s="820">
        <v>0</v>
      </c>
      <c r="AB305" s="813">
        <v>0</v>
      </c>
      <c r="AC305" s="771">
        <v>3470.01</v>
      </c>
      <c r="AD305" s="820">
        <v>0</v>
      </c>
      <c r="AE305" s="813">
        <v>0</v>
      </c>
      <c r="AF305" s="771">
        <v>9003.5</v>
      </c>
      <c r="AG305" s="820">
        <v>0</v>
      </c>
      <c r="AH305" s="813">
        <v>0</v>
      </c>
      <c r="AI305" s="771">
        <v>9631.32</v>
      </c>
      <c r="AJ305" s="820">
        <v>0</v>
      </c>
      <c r="AK305" s="813">
        <v>0</v>
      </c>
      <c r="AL305" s="771">
        <v>14951.3</v>
      </c>
      <c r="AM305" s="820">
        <v>0</v>
      </c>
      <c r="AN305" s="813">
        <v>0</v>
      </c>
      <c r="AO305" s="771">
        <v>11210.039999999901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4599391.1199999992</v>
      </c>
      <c r="D307" s="854">
        <v>0.25988696086363672</v>
      </c>
      <c r="E307" s="855">
        <v>1195321.7799999979</v>
      </c>
      <c r="F307" s="853">
        <v>386455.01</v>
      </c>
      <c r="G307" s="854">
        <v>0.24768125014086287</v>
      </c>
      <c r="H307" s="855">
        <v>95717.659999999669</v>
      </c>
      <c r="I307" s="853">
        <v>359648.74999999988</v>
      </c>
      <c r="J307" s="854">
        <v>0.23828496553929304</v>
      </c>
      <c r="K307" s="855">
        <v>85698.889999999796</v>
      </c>
      <c r="L307" s="853">
        <v>302306.81000000006</v>
      </c>
      <c r="M307" s="854">
        <v>0.33208527455931236</v>
      </c>
      <c r="N307" s="855">
        <v>100391.6399999999</v>
      </c>
      <c r="O307" s="853">
        <v>397976.93</v>
      </c>
      <c r="P307" s="854">
        <v>0.28529598436773629</v>
      </c>
      <c r="Q307" s="855">
        <v>113541.21999999968</v>
      </c>
      <c r="R307" s="853">
        <v>376962.33999999997</v>
      </c>
      <c r="S307" s="854">
        <v>0.2906424021030849</v>
      </c>
      <c r="T307" s="855">
        <v>109561.23999999979</v>
      </c>
      <c r="U307" s="853">
        <v>304362.82</v>
      </c>
      <c r="V307" s="854">
        <v>0.25477152564166672</v>
      </c>
      <c r="W307" s="855">
        <v>77542.98</v>
      </c>
      <c r="X307" s="853">
        <v>381493.2</v>
      </c>
      <c r="Y307" s="854">
        <v>0.25340595848104208</v>
      </c>
      <c r="Z307" s="855">
        <v>96672.649999999892</v>
      </c>
      <c r="AA307" s="853">
        <v>401922.06999999896</v>
      </c>
      <c r="AB307" s="854">
        <v>0.24279229055523138</v>
      </c>
      <c r="AC307" s="855">
        <v>97583.579999999798</v>
      </c>
      <c r="AD307" s="853">
        <v>393126.64</v>
      </c>
      <c r="AE307" s="854">
        <v>0.26278888146577906</v>
      </c>
      <c r="AF307" s="855">
        <v>103309.31</v>
      </c>
      <c r="AG307" s="853">
        <v>471079.64</v>
      </c>
      <c r="AH307" s="854">
        <v>0.23351856174467611</v>
      </c>
      <c r="AI307" s="855">
        <v>110005.83999999979</v>
      </c>
      <c r="AJ307" s="853">
        <v>454854.41000000003</v>
      </c>
      <c r="AK307" s="854">
        <v>0.2627899111717964</v>
      </c>
      <c r="AL307" s="855">
        <v>119531.14999999988</v>
      </c>
      <c r="AM307" s="853">
        <v>369202.5</v>
      </c>
      <c r="AN307" s="854">
        <v>0.23229967294370946</v>
      </c>
      <c r="AO307" s="855">
        <v>85765.619999999893</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v>0</v>
      </c>
      <c r="G309" s="784">
        <v>0</v>
      </c>
      <c r="H309" s="856">
        <v>0</v>
      </c>
      <c r="I309" s="776">
        <v>0</v>
      </c>
      <c r="J309" s="784">
        <v>0</v>
      </c>
      <c r="K309" s="856">
        <v>0</v>
      </c>
      <c r="L309" s="776">
        <v>0</v>
      </c>
      <c r="M309" s="784">
        <v>0</v>
      </c>
      <c r="N309" s="856">
        <v>0</v>
      </c>
      <c r="O309" s="776">
        <v>0</v>
      </c>
      <c r="P309" s="784">
        <v>0</v>
      </c>
      <c r="Q309" s="856">
        <v>0</v>
      </c>
      <c r="R309" s="776">
        <v>0</v>
      </c>
      <c r="S309" s="784">
        <v>0</v>
      </c>
      <c r="T309" s="856">
        <v>0</v>
      </c>
      <c r="U309" s="776">
        <v>0</v>
      </c>
      <c r="V309" s="784">
        <v>0</v>
      </c>
      <c r="W309" s="856">
        <v>0</v>
      </c>
      <c r="X309" s="776">
        <v>0</v>
      </c>
      <c r="Y309" s="784">
        <v>0</v>
      </c>
      <c r="Z309" s="856">
        <v>0</v>
      </c>
      <c r="AA309" s="776">
        <v>0</v>
      </c>
      <c r="AB309" s="784">
        <v>0</v>
      </c>
      <c r="AC309" s="856">
        <v>0</v>
      </c>
      <c r="AD309" s="776">
        <v>0</v>
      </c>
      <c r="AE309" s="784">
        <v>0</v>
      </c>
      <c r="AF309" s="856">
        <v>0</v>
      </c>
      <c r="AG309" s="776">
        <v>0</v>
      </c>
      <c r="AH309" s="784">
        <v>0</v>
      </c>
      <c r="AI309" s="856">
        <v>0</v>
      </c>
      <c r="AJ309" s="776">
        <v>0</v>
      </c>
      <c r="AK309" s="784">
        <v>0</v>
      </c>
      <c r="AL309" s="856">
        <v>0</v>
      </c>
      <c r="AM309" s="776">
        <v>0</v>
      </c>
      <c r="AN309" s="784">
        <v>0</v>
      </c>
      <c r="AO309" s="856">
        <v>0</v>
      </c>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531144.48</v>
      </c>
      <c r="D310" s="813">
        <v>0.16668752728071268</v>
      </c>
      <c r="E310" s="758">
        <v>88535.159999999945</v>
      </c>
      <c r="F310" s="820">
        <v>56894.84</v>
      </c>
      <c r="G310" s="813">
        <v>0.17446924888091786</v>
      </c>
      <c r="H310" s="771">
        <v>9926.4</v>
      </c>
      <c r="I310" s="820">
        <v>51997.67</v>
      </c>
      <c r="J310" s="813">
        <v>0.14912898981819742</v>
      </c>
      <c r="K310" s="771">
        <v>7754.3599999999897</v>
      </c>
      <c r="L310" s="820">
        <v>19665.25</v>
      </c>
      <c r="M310" s="813">
        <v>0.1603879940504184</v>
      </c>
      <c r="N310" s="771">
        <v>3154.0699999999902</v>
      </c>
      <c r="O310" s="820">
        <v>33810.449999999997</v>
      </c>
      <c r="P310" s="813">
        <v>0.15712154082539573</v>
      </c>
      <c r="Q310" s="771">
        <v>5312.35</v>
      </c>
      <c r="R310" s="820">
        <v>39158.370000000003</v>
      </c>
      <c r="S310" s="813">
        <v>0.16776592079803115</v>
      </c>
      <c r="T310" s="771">
        <v>6569.44</v>
      </c>
      <c r="U310" s="820">
        <v>9670.9599999999991</v>
      </c>
      <c r="V310" s="813">
        <v>0.19384218319587612</v>
      </c>
      <c r="W310" s="771">
        <v>1874.6399999999901</v>
      </c>
      <c r="X310" s="820">
        <v>17894.14</v>
      </c>
      <c r="Y310" s="813">
        <v>0.15636012683481798</v>
      </c>
      <c r="Z310" s="771">
        <v>2797.9299999999898</v>
      </c>
      <c r="AA310" s="820">
        <v>27866.12</v>
      </c>
      <c r="AB310" s="813">
        <v>0.12803648301234619</v>
      </c>
      <c r="AC310" s="771">
        <v>3567.88</v>
      </c>
      <c r="AD310" s="820">
        <v>21329.79</v>
      </c>
      <c r="AE310" s="813">
        <v>0.16221209866576275</v>
      </c>
      <c r="AF310" s="771">
        <v>3459.95</v>
      </c>
      <c r="AG310" s="820">
        <v>70357.13</v>
      </c>
      <c r="AH310" s="813">
        <v>0.17202833600517814</v>
      </c>
      <c r="AI310" s="771">
        <v>12103.42</v>
      </c>
      <c r="AJ310" s="820">
        <v>125231.29</v>
      </c>
      <c r="AK310" s="813">
        <v>0.1686120138185912</v>
      </c>
      <c r="AL310" s="771">
        <v>21115.5</v>
      </c>
      <c r="AM310" s="820">
        <v>57268.47</v>
      </c>
      <c r="AN310" s="813">
        <v>0.19031798824030044</v>
      </c>
      <c r="AO310" s="771">
        <v>10899.22</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284600.24000000005</v>
      </c>
      <c r="D311" s="813">
        <v>0.25616341714961255</v>
      </c>
      <c r="E311" s="758">
        <v>72904.169999999867</v>
      </c>
      <c r="F311" s="820">
        <v>17082.13</v>
      </c>
      <c r="G311" s="813">
        <v>0.2296095393255993</v>
      </c>
      <c r="H311" s="771">
        <v>3922.22</v>
      </c>
      <c r="I311" s="820">
        <v>14664.52</v>
      </c>
      <c r="J311" s="813">
        <v>0.23962461778496602</v>
      </c>
      <c r="K311" s="771">
        <v>3513.97999999999</v>
      </c>
      <c r="L311" s="820">
        <v>21393.59</v>
      </c>
      <c r="M311" s="813">
        <v>0.2476639030662923</v>
      </c>
      <c r="N311" s="771">
        <v>5298.42</v>
      </c>
      <c r="O311" s="820">
        <v>27235.040000000001</v>
      </c>
      <c r="P311" s="813">
        <v>0.26812554708933783</v>
      </c>
      <c r="Q311" s="771">
        <v>7302.41</v>
      </c>
      <c r="R311" s="820">
        <v>28957.45</v>
      </c>
      <c r="S311" s="813">
        <v>0.2606904268158971</v>
      </c>
      <c r="T311" s="771">
        <v>7548.93</v>
      </c>
      <c r="U311" s="820">
        <v>18493.45</v>
      </c>
      <c r="V311" s="813">
        <v>0.25780749400463404</v>
      </c>
      <c r="W311" s="771">
        <v>4767.75</v>
      </c>
      <c r="X311" s="820">
        <v>21225.38</v>
      </c>
      <c r="Y311" s="813">
        <v>0.24730440632864994</v>
      </c>
      <c r="Z311" s="771">
        <v>5249.13</v>
      </c>
      <c r="AA311" s="820">
        <v>22140.26</v>
      </c>
      <c r="AB311" s="813">
        <v>0.25765144582764571</v>
      </c>
      <c r="AC311" s="771">
        <v>5704.4699999999903</v>
      </c>
      <c r="AD311" s="820">
        <v>22305.64</v>
      </c>
      <c r="AE311" s="813">
        <v>0.25898606809757491</v>
      </c>
      <c r="AF311" s="771">
        <v>5776.8499999999904</v>
      </c>
      <c r="AG311" s="820">
        <v>30225.95</v>
      </c>
      <c r="AH311" s="813">
        <v>0.26090594340293688</v>
      </c>
      <c r="AI311" s="771">
        <v>7886.13</v>
      </c>
      <c r="AJ311" s="820">
        <v>42571.25</v>
      </c>
      <c r="AK311" s="813">
        <v>0.26211375047713892</v>
      </c>
      <c r="AL311" s="771">
        <v>11158.5099999999</v>
      </c>
      <c r="AM311" s="820">
        <v>18305.580000000002</v>
      </c>
      <c r="AN311" s="813">
        <v>0.26086963647150208</v>
      </c>
      <c r="AO311" s="771">
        <v>4775.37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5415135.8399999999</v>
      </c>
      <c r="D312" s="854">
        <v>0.25054978306878406</v>
      </c>
      <c r="E312" s="855">
        <v>1356761.1099999978</v>
      </c>
      <c r="F312" s="853">
        <v>460431.98</v>
      </c>
      <c r="G312" s="854">
        <v>0.23796409623849255</v>
      </c>
      <c r="H312" s="855">
        <v>109566.27999999966</v>
      </c>
      <c r="I312" s="853">
        <v>426310.93999999989</v>
      </c>
      <c r="J312" s="854">
        <v>0.22745658368513791</v>
      </c>
      <c r="K312" s="855">
        <v>96967.229999999778</v>
      </c>
      <c r="L312" s="853">
        <v>343365.65000000008</v>
      </c>
      <c r="M312" s="854">
        <v>0.31699190061673282</v>
      </c>
      <c r="N312" s="855">
        <v>108844.12999999989</v>
      </c>
      <c r="O312" s="853">
        <v>459022.42</v>
      </c>
      <c r="P312" s="854">
        <v>0.2748362051683656</v>
      </c>
      <c r="Q312" s="855">
        <v>126155.97999999969</v>
      </c>
      <c r="R312" s="853">
        <v>445078.16</v>
      </c>
      <c r="S312" s="854">
        <v>0.27788290038765279</v>
      </c>
      <c r="T312" s="855">
        <v>123679.60999999978</v>
      </c>
      <c r="U312" s="853">
        <v>332527.23000000004</v>
      </c>
      <c r="V312" s="854">
        <v>0.25316834955140355</v>
      </c>
      <c r="W312" s="855">
        <v>84185.369999999981</v>
      </c>
      <c r="X312" s="853">
        <v>420612.72000000003</v>
      </c>
      <c r="Y312" s="854">
        <v>0.24896943202288291</v>
      </c>
      <c r="Z312" s="855">
        <v>104719.70999999989</v>
      </c>
      <c r="AA312" s="853">
        <v>451928.44999999896</v>
      </c>
      <c r="AB312" s="854">
        <v>0.236444353082883</v>
      </c>
      <c r="AC312" s="855">
        <v>106855.92999999979</v>
      </c>
      <c r="AD312" s="853">
        <v>436762.07</v>
      </c>
      <c r="AE312" s="854">
        <v>0.25768288441347481</v>
      </c>
      <c r="AF312" s="855">
        <v>112546.10999999999</v>
      </c>
      <c r="AG312" s="853">
        <v>571662.72</v>
      </c>
      <c r="AH312" s="854">
        <v>0.22739875358672995</v>
      </c>
      <c r="AI312" s="855">
        <v>129995.3899999998</v>
      </c>
      <c r="AJ312" s="853">
        <v>622656.95000000007</v>
      </c>
      <c r="AK312" s="854">
        <v>0.24380224134653883</v>
      </c>
      <c r="AL312" s="855">
        <v>151805.15999999977</v>
      </c>
      <c r="AM312" s="853">
        <v>444776.55</v>
      </c>
      <c r="AN312" s="854">
        <v>0.22807005000600838</v>
      </c>
      <c r="AO312" s="855">
        <v>101440.20999999989</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3860</v>
      </c>
      <c r="C314" s="819">
        <v>0</v>
      </c>
      <c r="D314" s="813">
        <v>0</v>
      </c>
      <c r="E314" s="758">
        <v>0</v>
      </c>
      <c r="F314" s="747"/>
      <c r="G314" s="857"/>
      <c r="H314" s="748"/>
      <c r="I314" s="747"/>
      <c r="J314" s="857"/>
      <c r="K314" s="748"/>
      <c r="L314" s="747"/>
      <c r="M314" s="857"/>
      <c r="N314" s="748"/>
      <c r="O314" s="747"/>
      <c r="P314" s="857"/>
      <c r="Q314" s="748"/>
      <c r="R314" s="747"/>
      <c r="S314" s="857"/>
      <c r="T314" s="748"/>
      <c r="U314" s="747"/>
      <c r="V314" s="857"/>
      <c r="W314" s="748"/>
      <c r="X314" s="747"/>
      <c r="Y314" s="857"/>
      <c r="Z314" s="748"/>
      <c r="AA314" s="747"/>
      <c r="AB314" s="857"/>
      <c r="AC314" s="748"/>
      <c r="AD314" s="747"/>
      <c r="AE314" s="857"/>
      <c r="AF314" s="748"/>
      <c r="AG314" s="747"/>
      <c r="AH314" s="857"/>
      <c r="AI314" s="748"/>
      <c r="AJ314" s="747"/>
      <c r="AK314" s="857"/>
      <c r="AL314" s="748"/>
      <c r="AM314" s="747"/>
      <c r="AN314" s="857"/>
      <c r="AO314" s="748"/>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5415135.8399999999</v>
      </c>
      <c r="D317" s="861">
        <v>0.25054978306878406</v>
      </c>
      <c r="E317" s="761">
        <v>1356761.1099999978</v>
      </c>
      <c r="F317" s="759">
        <v>460431.98</v>
      </c>
      <c r="G317" s="861">
        <v>0.23796409623849255</v>
      </c>
      <c r="H317" s="761">
        <v>109566.27999999966</v>
      </c>
      <c r="I317" s="759">
        <v>426310.93999999989</v>
      </c>
      <c r="J317" s="861">
        <v>0.22745658368513791</v>
      </c>
      <c r="K317" s="761">
        <v>96967.229999999778</v>
      </c>
      <c r="L317" s="759">
        <v>343365.65000000008</v>
      </c>
      <c r="M317" s="861">
        <v>0.31699190061673282</v>
      </c>
      <c r="N317" s="761">
        <v>108844.12999999989</v>
      </c>
      <c r="O317" s="759">
        <v>459022.42</v>
      </c>
      <c r="P317" s="861">
        <v>0.2748362051683656</v>
      </c>
      <c r="Q317" s="761">
        <v>126155.97999999969</v>
      </c>
      <c r="R317" s="759">
        <v>445078.16</v>
      </c>
      <c r="S317" s="861">
        <v>0.27788290038765279</v>
      </c>
      <c r="T317" s="761">
        <v>123679.60999999978</v>
      </c>
      <c r="U317" s="759">
        <v>332527.23000000004</v>
      </c>
      <c r="V317" s="861">
        <v>0.25316834955140355</v>
      </c>
      <c r="W317" s="761">
        <v>84185.369999999981</v>
      </c>
      <c r="X317" s="759">
        <v>420612.72000000003</v>
      </c>
      <c r="Y317" s="861">
        <v>0.24896943202288291</v>
      </c>
      <c r="Z317" s="761">
        <v>104719.70999999989</v>
      </c>
      <c r="AA317" s="759">
        <v>451928.44999999896</v>
      </c>
      <c r="AB317" s="861">
        <v>0.236444353082883</v>
      </c>
      <c r="AC317" s="761">
        <v>106855.92999999979</v>
      </c>
      <c r="AD317" s="759">
        <v>436762.07</v>
      </c>
      <c r="AE317" s="861">
        <v>0.25768288441347481</v>
      </c>
      <c r="AF317" s="761">
        <v>112546.10999999999</v>
      </c>
      <c r="AG317" s="759">
        <v>571662.72</v>
      </c>
      <c r="AH317" s="861">
        <v>0.22739875358672995</v>
      </c>
      <c r="AI317" s="761">
        <v>129995.3899999998</v>
      </c>
      <c r="AJ317" s="759">
        <v>622656.95000000007</v>
      </c>
      <c r="AK317" s="861">
        <v>0.24380224134653883</v>
      </c>
      <c r="AL317" s="761">
        <v>151805.15999999977</v>
      </c>
      <c r="AM317" s="759">
        <v>444776.55</v>
      </c>
      <c r="AN317" s="861">
        <v>0.22807005000600838</v>
      </c>
      <c r="AO317" s="761">
        <v>101440.20999999989</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102195.55</v>
      </c>
      <c r="F321" s="747"/>
      <c r="G321" s="757"/>
      <c r="H321" s="771">
        <v>11123.37</v>
      </c>
      <c r="I321" s="747"/>
      <c r="J321" s="757"/>
      <c r="K321" s="771">
        <v>8856.35</v>
      </c>
      <c r="L321" s="747"/>
      <c r="M321" s="757"/>
      <c r="N321" s="771">
        <v>7736.15</v>
      </c>
      <c r="O321" s="747"/>
      <c r="P321" s="757"/>
      <c r="Q321" s="771">
        <v>7005.54</v>
      </c>
      <c r="R321" s="747"/>
      <c r="S321" s="757"/>
      <c r="T321" s="771">
        <v>7201.22</v>
      </c>
      <c r="U321" s="747"/>
      <c r="V321" s="757"/>
      <c r="W321" s="771">
        <v>6304.17</v>
      </c>
      <c r="X321" s="747"/>
      <c r="Y321" s="757"/>
      <c r="Z321" s="771">
        <v>9176.36</v>
      </c>
      <c r="AA321" s="747"/>
      <c r="AB321" s="757"/>
      <c r="AC321" s="771">
        <v>9024.27</v>
      </c>
      <c r="AD321" s="747"/>
      <c r="AE321" s="757"/>
      <c r="AF321" s="771">
        <v>9892.69</v>
      </c>
      <c r="AG321" s="747"/>
      <c r="AH321" s="757"/>
      <c r="AI321" s="771">
        <v>6958.82</v>
      </c>
      <c r="AJ321" s="747"/>
      <c r="AK321" s="757"/>
      <c r="AL321" s="771">
        <v>8668.85</v>
      </c>
      <c r="AM321" s="747"/>
      <c r="AN321" s="757"/>
      <c r="AO321" s="771">
        <v>10247.76</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306458.19</v>
      </c>
      <c r="F322" s="747"/>
      <c r="G322" s="757"/>
      <c r="H322" s="771">
        <v>18527.95</v>
      </c>
      <c r="I322" s="747"/>
      <c r="J322" s="757"/>
      <c r="K322" s="771">
        <v>21764.62</v>
      </c>
      <c r="L322" s="747"/>
      <c r="M322" s="757"/>
      <c r="N322" s="771">
        <v>29881.62</v>
      </c>
      <c r="O322" s="747"/>
      <c r="P322" s="757"/>
      <c r="Q322" s="771">
        <v>24992.33</v>
      </c>
      <c r="R322" s="747"/>
      <c r="S322" s="757"/>
      <c r="T322" s="771">
        <v>30808.98</v>
      </c>
      <c r="U322" s="747"/>
      <c r="V322" s="757"/>
      <c r="W322" s="771">
        <v>22540.87</v>
      </c>
      <c r="X322" s="747"/>
      <c r="Y322" s="757"/>
      <c r="Z322" s="771">
        <v>23703.279999999999</v>
      </c>
      <c r="AA322" s="747"/>
      <c r="AB322" s="757"/>
      <c r="AC322" s="771">
        <v>26468.2</v>
      </c>
      <c r="AD322" s="747"/>
      <c r="AE322" s="757"/>
      <c r="AF322" s="771">
        <v>25295.599999999999</v>
      </c>
      <c r="AG322" s="747"/>
      <c r="AH322" s="757"/>
      <c r="AI322" s="771">
        <v>25749.9</v>
      </c>
      <c r="AJ322" s="747"/>
      <c r="AK322" s="757"/>
      <c r="AL322" s="771">
        <v>33164.269999999997</v>
      </c>
      <c r="AM322" s="747"/>
      <c r="AN322" s="757"/>
      <c r="AO322" s="771">
        <v>23560.57</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8600.33</v>
      </c>
      <c r="F323" s="780"/>
      <c r="G323" s="781"/>
      <c r="H323" s="783">
        <v>4364.6000000000004</v>
      </c>
      <c r="I323" s="780"/>
      <c r="J323" s="781"/>
      <c r="K323" s="783">
        <v>2429.1799999999998</v>
      </c>
      <c r="L323" s="780"/>
      <c r="M323" s="781"/>
      <c r="N323" s="783">
        <v>113.92</v>
      </c>
      <c r="O323" s="780"/>
      <c r="P323" s="781"/>
      <c r="Q323" s="783">
        <v>190.37</v>
      </c>
      <c r="R323" s="780"/>
      <c r="S323" s="781"/>
      <c r="T323" s="783">
        <v>704.82</v>
      </c>
      <c r="U323" s="780"/>
      <c r="V323" s="781"/>
      <c r="W323" s="783">
        <v>113.92</v>
      </c>
      <c r="X323" s="780"/>
      <c r="Y323" s="781"/>
      <c r="Z323" s="783">
        <v>113.92</v>
      </c>
      <c r="AA323" s="780"/>
      <c r="AB323" s="781"/>
      <c r="AC323" s="783">
        <v>113.92</v>
      </c>
      <c r="AD323" s="780"/>
      <c r="AE323" s="781"/>
      <c r="AF323" s="783">
        <v>113.92</v>
      </c>
      <c r="AG323" s="780"/>
      <c r="AH323" s="781"/>
      <c r="AI323" s="783">
        <v>113.92</v>
      </c>
      <c r="AJ323" s="780"/>
      <c r="AK323" s="781"/>
      <c r="AL323" s="783">
        <v>113.92</v>
      </c>
      <c r="AM323" s="780"/>
      <c r="AN323" s="781"/>
      <c r="AO323" s="783">
        <v>113.92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45257.12000000001</v>
      </c>
      <c r="F328" s="747"/>
      <c r="G328" s="757"/>
      <c r="H328" s="771">
        <v>4085.93</v>
      </c>
      <c r="I328" s="747"/>
      <c r="J328" s="757"/>
      <c r="K328" s="771">
        <v>4202.88</v>
      </c>
      <c r="L328" s="747"/>
      <c r="M328" s="757"/>
      <c r="N328" s="771">
        <v>3891.01</v>
      </c>
      <c r="O328" s="747"/>
      <c r="P328" s="757"/>
      <c r="Q328" s="771">
        <v>3726.86</v>
      </c>
      <c r="R328" s="747"/>
      <c r="S328" s="757"/>
      <c r="T328" s="771">
        <v>5375.55</v>
      </c>
      <c r="U328" s="747"/>
      <c r="V328" s="757"/>
      <c r="W328" s="771">
        <v>3027.35</v>
      </c>
      <c r="X328" s="747"/>
      <c r="Y328" s="757"/>
      <c r="Z328" s="771">
        <v>3053.73</v>
      </c>
      <c r="AA328" s="747"/>
      <c r="AB328" s="757"/>
      <c r="AC328" s="771">
        <v>2859.89</v>
      </c>
      <c r="AD328" s="747"/>
      <c r="AE328" s="757"/>
      <c r="AF328" s="771">
        <v>3852.87</v>
      </c>
      <c r="AG328" s="747"/>
      <c r="AH328" s="757"/>
      <c r="AI328" s="771">
        <v>3956.34</v>
      </c>
      <c r="AJ328" s="747"/>
      <c r="AK328" s="757"/>
      <c r="AL328" s="771">
        <v>2955.12</v>
      </c>
      <c r="AM328" s="747"/>
      <c r="AN328" s="757"/>
      <c r="AO328" s="771">
        <v>4269.59</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88155.369999999966</v>
      </c>
      <c r="F329" s="780"/>
      <c r="G329" s="781"/>
      <c r="H329" s="783">
        <v>8268.17</v>
      </c>
      <c r="I329" s="780"/>
      <c r="J329" s="781"/>
      <c r="K329" s="783">
        <v>8036.83</v>
      </c>
      <c r="L329" s="780"/>
      <c r="M329" s="781"/>
      <c r="N329" s="783">
        <v>8486.34</v>
      </c>
      <c r="O329" s="780"/>
      <c r="P329" s="781"/>
      <c r="Q329" s="783">
        <v>7350.11</v>
      </c>
      <c r="R329" s="780"/>
      <c r="S329" s="781"/>
      <c r="T329" s="783">
        <v>8164.94</v>
      </c>
      <c r="U329" s="780"/>
      <c r="V329" s="781"/>
      <c r="W329" s="783">
        <v>7018.81</v>
      </c>
      <c r="X329" s="780"/>
      <c r="Y329" s="781"/>
      <c r="Z329" s="783">
        <v>6876.95</v>
      </c>
      <c r="AA329" s="780"/>
      <c r="AB329" s="781"/>
      <c r="AC329" s="783">
        <v>8251.7099999999991</v>
      </c>
      <c r="AD329" s="780"/>
      <c r="AE329" s="781"/>
      <c r="AF329" s="783">
        <v>6777.44</v>
      </c>
      <c r="AG329" s="780"/>
      <c r="AH329" s="781"/>
      <c r="AI329" s="783">
        <v>6502.5199999999904</v>
      </c>
      <c r="AJ329" s="780"/>
      <c r="AK329" s="781"/>
      <c r="AL329" s="783">
        <v>6903.0199999999904</v>
      </c>
      <c r="AM329" s="780"/>
      <c r="AN329" s="781"/>
      <c r="AO329" s="783">
        <v>5518.53</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11103.859999999999</v>
      </c>
      <c r="F330" s="747"/>
      <c r="G330" s="757"/>
      <c r="H330" s="771">
        <v>914.67</v>
      </c>
      <c r="I330" s="747"/>
      <c r="J330" s="757"/>
      <c r="K330" s="771">
        <v>1105.18</v>
      </c>
      <c r="L330" s="747"/>
      <c r="M330" s="757"/>
      <c r="N330" s="771">
        <v>2353.64</v>
      </c>
      <c r="O330" s="747"/>
      <c r="P330" s="757"/>
      <c r="Q330" s="771">
        <v>1026.28</v>
      </c>
      <c r="R330" s="747"/>
      <c r="S330" s="757"/>
      <c r="T330" s="771">
        <v>1439.68</v>
      </c>
      <c r="U330" s="747"/>
      <c r="V330" s="757"/>
      <c r="W330" s="771">
        <v>1006.31</v>
      </c>
      <c r="X330" s="747"/>
      <c r="Y330" s="757"/>
      <c r="Z330" s="771">
        <v>1183.98</v>
      </c>
      <c r="AA330" s="747"/>
      <c r="AB330" s="757"/>
      <c r="AC330" s="771">
        <v>1698.17</v>
      </c>
      <c r="AD330" s="747"/>
      <c r="AE330" s="757"/>
      <c r="AF330" s="771">
        <v>1354.21</v>
      </c>
      <c r="AG330" s="747"/>
      <c r="AH330" s="757"/>
      <c r="AI330" s="771">
        <v>1354.21</v>
      </c>
      <c r="AJ330" s="747"/>
      <c r="AK330" s="757"/>
      <c r="AL330" s="771">
        <v>-3783.47</v>
      </c>
      <c r="AM330" s="747"/>
      <c r="AN330" s="757"/>
      <c r="AO330" s="771">
        <v>1451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12977.3</v>
      </c>
      <c r="F331" s="747"/>
      <c r="G331" s="757"/>
      <c r="H331" s="771">
        <v>891.22</v>
      </c>
      <c r="I331" s="747"/>
      <c r="J331" s="757"/>
      <c r="K331" s="771">
        <v>956.16</v>
      </c>
      <c r="L331" s="747"/>
      <c r="M331" s="757"/>
      <c r="N331" s="771">
        <v>1190.18</v>
      </c>
      <c r="O331" s="747"/>
      <c r="P331" s="757"/>
      <c r="Q331" s="771">
        <v>1204.1600000000001</v>
      </c>
      <c r="R331" s="747"/>
      <c r="S331" s="757"/>
      <c r="T331" s="771">
        <v>1065.93</v>
      </c>
      <c r="U331" s="747"/>
      <c r="V331" s="757"/>
      <c r="W331" s="771">
        <v>788.92</v>
      </c>
      <c r="X331" s="747"/>
      <c r="Y331" s="757"/>
      <c r="Z331" s="771">
        <v>872.62</v>
      </c>
      <c r="AA331" s="747"/>
      <c r="AB331" s="757"/>
      <c r="AC331" s="771">
        <v>1640.79</v>
      </c>
      <c r="AD331" s="747"/>
      <c r="AE331" s="757"/>
      <c r="AF331" s="771">
        <v>876.26</v>
      </c>
      <c r="AG331" s="747"/>
      <c r="AH331" s="757"/>
      <c r="AI331" s="771">
        <v>738.69</v>
      </c>
      <c r="AJ331" s="747"/>
      <c r="AK331" s="757"/>
      <c r="AL331" s="771">
        <v>891.5</v>
      </c>
      <c r="AM331" s="747"/>
      <c r="AN331" s="757"/>
      <c r="AO331" s="771">
        <v>1860.87</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0.42361747824567358</v>
      </c>
      <c r="E333" s="779">
        <v>574747.72</v>
      </c>
      <c r="F333" s="777"/>
      <c r="G333" s="778"/>
      <c r="H333" s="779">
        <v>48175.909999999902</v>
      </c>
      <c r="I333" s="777"/>
      <c r="J333" s="778"/>
      <c r="K333" s="779">
        <v>47351.199999999997</v>
      </c>
      <c r="L333" s="777"/>
      <c r="M333" s="778"/>
      <c r="N333" s="779">
        <v>53652.859999999899</v>
      </c>
      <c r="O333" s="777"/>
      <c r="P333" s="778"/>
      <c r="Q333" s="779">
        <v>45495.65</v>
      </c>
      <c r="R333" s="777"/>
      <c r="S333" s="778"/>
      <c r="T333" s="779">
        <v>54761.120000000003</v>
      </c>
      <c r="U333" s="777"/>
      <c r="V333" s="778"/>
      <c r="W333" s="779">
        <v>40800.349999999897</v>
      </c>
      <c r="X333" s="777"/>
      <c r="Y333" s="778"/>
      <c r="Z333" s="779">
        <v>44980.84</v>
      </c>
      <c r="AA333" s="777"/>
      <c r="AB333" s="778"/>
      <c r="AC333" s="779">
        <v>50056.95</v>
      </c>
      <c r="AD333" s="777"/>
      <c r="AE333" s="778"/>
      <c r="AF333" s="779">
        <v>48162.99</v>
      </c>
      <c r="AG333" s="777"/>
      <c r="AH333" s="778"/>
      <c r="AI333" s="779">
        <v>45374.3999999999</v>
      </c>
      <c r="AJ333" s="777"/>
      <c r="AK333" s="778"/>
      <c r="AL333" s="779">
        <v>48913.209999999897</v>
      </c>
      <c r="AM333" s="777"/>
      <c r="AN333" s="778"/>
      <c r="AO333" s="779">
        <v>47022.239999999998</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49528.759999999995</v>
      </c>
      <c r="F334" s="747"/>
      <c r="G334" s="757"/>
      <c r="H334" s="771">
        <v>4988.45</v>
      </c>
      <c r="I334" s="747"/>
      <c r="J334" s="757"/>
      <c r="K334" s="771">
        <v>5499.83</v>
      </c>
      <c r="L334" s="747"/>
      <c r="M334" s="757"/>
      <c r="N334" s="771">
        <v>4125.1899999999996</v>
      </c>
      <c r="O334" s="747"/>
      <c r="P334" s="757"/>
      <c r="Q334" s="771">
        <v>4417.4399999999996</v>
      </c>
      <c r="R334" s="747"/>
      <c r="S334" s="757"/>
      <c r="T334" s="771">
        <v>4654.3900000000003</v>
      </c>
      <c r="U334" s="747"/>
      <c r="V334" s="757"/>
      <c r="W334" s="771">
        <v>3800.67</v>
      </c>
      <c r="X334" s="747"/>
      <c r="Y334" s="757"/>
      <c r="Z334" s="771">
        <v>3503.16</v>
      </c>
      <c r="AA334" s="747"/>
      <c r="AB334" s="757"/>
      <c r="AC334" s="771">
        <v>3417.43</v>
      </c>
      <c r="AD334" s="747"/>
      <c r="AE334" s="757"/>
      <c r="AF334" s="771">
        <v>2915.97</v>
      </c>
      <c r="AG334" s="747"/>
      <c r="AH334" s="757"/>
      <c r="AI334" s="771">
        <v>4321.1400000000003</v>
      </c>
      <c r="AJ334" s="747"/>
      <c r="AK334" s="757"/>
      <c r="AL334" s="771">
        <v>3939.83</v>
      </c>
      <c r="AM334" s="747"/>
      <c r="AN334" s="757"/>
      <c r="AO334" s="771">
        <v>3945.26</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4305.6000000000004</v>
      </c>
      <c r="F335" s="747"/>
      <c r="G335" s="757"/>
      <c r="H335" s="771">
        <v>-5629.4</v>
      </c>
      <c r="I335" s="747"/>
      <c r="J335" s="757"/>
      <c r="K335" s="771">
        <v>0</v>
      </c>
      <c r="L335" s="747"/>
      <c r="M335" s="757"/>
      <c r="N335" s="771">
        <v>1134.6099999999999</v>
      </c>
      <c r="O335" s="747"/>
      <c r="P335" s="757"/>
      <c r="Q335" s="771">
        <v>881.44</v>
      </c>
      <c r="R335" s="747"/>
      <c r="S335" s="757"/>
      <c r="T335" s="771">
        <v>2532.06</v>
      </c>
      <c r="U335" s="747"/>
      <c r="V335" s="757"/>
      <c r="W335" s="771">
        <v>954.5</v>
      </c>
      <c r="X335" s="747"/>
      <c r="Y335" s="757"/>
      <c r="Z335" s="771">
        <v>81.150000000000006</v>
      </c>
      <c r="AA335" s="747"/>
      <c r="AB335" s="757"/>
      <c r="AC335" s="771">
        <v>712.76</v>
      </c>
      <c r="AD335" s="747"/>
      <c r="AE335" s="757"/>
      <c r="AF335" s="771">
        <v>167.75</v>
      </c>
      <c r="AG335" s="747"/>
      <c r="AH335" s="757"/>
      <c r="AI335" s="771">
        <v>1812.7</v>
      </c>
      <c r="AJ335" s="747"/>
      <c r="AK335" s="757"/>
      <c r="AL335" s="771">
        <v>666.15</v>
      </c>
      <c r="AM335" s="747"/>
      <c r="AN335" s="757"/>
      <c r="AO335" s="771">
        <v>991.88</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15083.720000000001</v>
      </c>
      <c r="F336" s="776"/>
      <c r="G336" s="784"/>
      <c r="H336" s="775">
        <v>1275.97</v>
      </c>
      <c r="I336" s="776"/>
      <c r="J336" s="784"/>
      <c r="K336" s="775">
        <v>1186.93</v>
      </c>
      <c r="L336" s="776"/>
      <c r="M336" s="784"/>
      <c r="N336" s="775">
        <v>1346.53</v>
      </c>
      <c r="O336" s="776"/>
      <c r="P336" s="784"/>
      <c r="Q336" s="775">
        <v>1271.42</v>
      </c>
      <c r="R336" s="776"/>
      <c r="S336" s="784"/>
      <c r="T336" s="775">
        <v>1412.1</v>
      </c>
      <c r="U336" s="776"/>
      <c r="V336" s="784"/>
      <c r="W336" s="775">
        <v>1299.26</v>
      </c>
      <c r="X336" s="776"/>
      <c r="Y336" s="784"/>
      <c r="Z336" s="775">
        <v>1111.49</v>
      </c>
      <c r="AA336" s="776"/>
      <c r="AB336" s="784"/>
      <c r="AC336" s="775">
        <v>1351.28</v>
      </c>
      <c r="AD336" s="776"/>
      <c r="AE336" s="784"/>
      <c r="AF336" s="775">
        <v>1168.49</v>
      </c>
      <c r="AG336" s="776"/>
      <c r="AH336" s="784"/>
      <c r="AI336" s="775">
        <v>1168.49</v>
      </c>
      <c r="AJ336" s="776"/>
      <c r="AK336" s="784"/>
      <c r="AL336" s="775">
        <v>1351.28</v>
      </c>
      <c r="AM336" s="776"/>
      <c r="AN336" s="784"/>
      <c r="AO336" s="775">
        <v>1140.48</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58714.139999999985</v>
      </c>
      <c r="F337" s="747"/>
      <c r="G337" s="757"/>
      <c r="H337" s="771">
        <v>3771.86</v>
      </c>
      <c r="I337" s="747"/>
      <c r="J337" s="757"/>
      <c r="K337" s="771">
        <v>4854.71</v>
      </c>
      <c r="L337" s="747"/>
      <c r="M337" s="757"/>
      <c r="N337" s="771">
        <v>4508.04</v>
      </c>
      <c r="O337" s="747"/>
      <c r="P337" s="757"/>
      <c r="Q337" s="771">
        <v>4958.8900000000003</v>
      </c>
      <c r="R337" s="747"/>
      <c r="S337" s="757"/>
      <c r="T337" s="771">
        <v>4532.71</v>
      </c>
      <c r="U337" s="747"/>
      <c r="V337" s="757"/>
      <c r="W337" s="771">
        <v>4542.16</v>
      </c>
      <c r="X337" s="747"/>
      <c r="Y337" s="757"/>
      <c r="Z337" s="771">
        <v>4379.1499999999996</v>
      </c>
      <c r="AA337" s="747"/>
      <c r="AB337" s="757"/>
      <c r="AC337" s="771">
        <v>5565.64</v>
      </c>
      <c r="AD337" s="747"/>
      <c r="AE337" s="757"/>
      <c r="AF337" s="771">
        <v>6152.41</v>
      </c>
      <c r="AG337" s="747"/>
      <c r="AH337" s="757"/>
      <c r="AI337" s="771">
        <v>5168.38</v>
      </c>
      <c r="AJ337" s="747"/>
      <c r="AK337" s="757"/>
      <c r="AL337" s="771">
        <v>4553.7700000000004</v>
      </c>
      <c r="AM337" s="747"/>
      <c r="AN337" s="757"/>
      <c r="AO337" s="771">
        <v>5726.42</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11673.320000000002</v>
      </c>
      <c r="F338" s="747"/>
      <c r="G338" s="757"/>
      <c r="H338" s="771">
        <v>379.07</v>
      </c>
      <c r="I338" s="747"/>
      <c r="J338" s="757"/>
      <c r="K338" s="771">
        <v>620.25</v>
      </c>
      <c r="L338" s="747"/>
      <c r="M338" s="757"/>
      <c r="N338" s="771">
        <v>652.71</v>
      </c>
      <c r="O338" s="747"/>
      <c r="P338" s="757"/>
      <c r="Q338" s="771">
        <v>1821.32</v>
      </c>
      <c r="R338" s="747"/>
      <c r="S338" s="757"/>
      <c r="T338" s="771">
        <v>584.44000000000005</v>
      </c>
      <c r="U338" s="747"/>
      <c r="V338" s="757"/>
      <c r="W338" s="771">
        <v>918.93</v>
      </c>
      <c r="X338" s="747"/>
      <c r="Y338" s="757"/>
      <c r="Z338" s="771">
        <v>1002.14</v>
      </c>
      <c r="AA338" s="747"/>
      <c r="AB338" s="757"/>
      <c r="AC338" s="771">
        <v>905.44</v>
      </c>
      <c r="AD338" s="747"/>
      <c r="AE338" s="757"/>
      <c r="AF338" s="771">
        <v>1414.19</v>
      </c>
      <c r="AG338" s="747"/>
      <c r="AH338" s="757"/>
      <c r="AI338" s="771">
        <v>1039.22</v>
      </c>
      <c r="AJ338" s="747"/>
      <c r="AK338" s="757"/>
      <c r="AL338" s="771">
        <v>1461.86</v>
      </c>
      <c r="AM338" s="747"/>
      <c r="AN338" s="757"/>
      <c r="AO338" s="771">
        <v>873.75</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143262.68</v>
      </c>
      <c r="F339" s="776"/>
      <c r="G339" s="784"/>
      <c r="H339" s="775">
        <v>16995.080000000002</v>
      </c>
      <c r="I339" s="776"/>
      <c r="J339" s="784"/>
      <c r="K339" s="775">
        <v>13059.98</v>
      </c>
      <c r="L339" s="776"/>
      <c r="M339" s="784"/>
      <c r="N339" s="775">
        <v>10761.48</v>
      </c>
      <c r="O339" s="776"/>
      <c r="P339" s="784"/>
      <c r="Q339" s="775">
        <v>11758.11</v>
      </c>
      <c r="R339" s="776"/>
      <c r="S339" s="784"/>
      <c r="T339" s="775">
        <v>11822.3</v>
      </c>
      <c r="U339" s="776"/>
      <c r="V339" s="784"/>
      <c r="W339" s="775">
        <v>10112.43</v>
      </c>
      <c r="X339" s="776"/>
      <c r="Y339" s="784"/>
      <c r="Z339" s="775">
        <v>10773.75</v>
      </c>
      <c r="AA339" s="776"/>
      <c r="AB339" s="784"/>
      <c r="AC339" s="775">
        <v>11251.54</v>
      </c>
      <c r="AD339" s="776"/>
      <c r="AE339" s="784"/>
      <c r="AF339" s="775">
        <v>12590.01</v>
      </c>
      <c r="AG339" s="776"/>
      <c r="AH339" s="784"/>
      <c r="AI339" s="775">
        <v>12086.68</v>
      </c>
      <c r="AJ339" s="776"/>
      <c r="AK339" s="784"/>
      <c r="AL339" s="775">
        <v>11143.02</v>
      </c>
      <c r="AM339" s="776"/>
      <c r="AN339" s="784"/>
      <c r="AO339" s="775">
        <v>10908.3</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2798.71</v>
      </c>
      <c r="F341" s="747"/>
      <c r="G341" s="757"/>
      <c r="H341" s="771">
        <v>0</v>
      </c>
      <c r="I341" s="747"/>
      <c r="J341" s="757"/>
      <c r="K341" s="771">
        <v>1375.72</v>
      </c>
      <c r="L341" s="747"/>
      <c r="M341" s="757"/>
      <c r="N341" s="771">
        <v>135.68</v>
      </c>
      <c r="O341" s="747"/>
      <c r="P341" s="757"/>
      <c r="Q341" s="771">
        <v>65.61</v>
      </c>
      <c r="R341" s="747"/>
      <c r="S341" s="757"/>
      <c r="T341" s="771">
        <v>99.95</v>
      </c>
      <c r="U341" s="747"/>
      <c r="V341" s="757"/>
      <c r="W341" s="771">
        <v>3.57</v>
      </c>
      <c r="X341" s="747"/>
      <c r="Y341" s="757"/>
      <c r="Z341" s="771">
        <v>9.99</v>
      </c>
      <c r="AA341" s="747"/>
      <c r="AB341" s="757"/>
      <c r="AC341" s="771">
        <v>759.58</v>
      </c>
      <c r="AD341" s="747"/>
      <c r="AE341" s="757"/>
      <c r="AF341" s="771">
        <v>0</v>
      </c>
      <c r="AG341" s="747"/>
      <c r="AH341" s="757"/>
      <c r="AI341" s="771">
        <v>68.38</v>
      </c>
      <c r="AJ341" s="747"/>
      <c r="AK341" s="757"/>
      <c r="AL341" s="771">
        <v>129.94999999999999</v>
      </c>
      <c r="AM341" s="747"/>
      <c r="AN341" s="757"/>
      <c r="AO341" s="771">
        <v>150.28</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240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240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8619.15</v>
      </c>
      <c r="F343" s="747"/>
      <c r="G343" s="757"/>
      <c r="H343" s="771">
        <v>332.2</v>
      </c>
      <c r="I343" s="747"/>
      <c r="J343" s="757"/>
      <c r="K343" s="771">
        <v>1040.19</v>
      </c>
      <c r="L343" s="747"/>
      <c r="M343" s="757"/>
      <c r="N343" s="771">
        <v>145.52000000000001</v>
      </c>
      <c r="O343" s="747"/>
      <c r="P343" s="757"/>
      <c r="Q343" s="771">
        <v>297.66000000000003</v>
      </c>
      <c r="R343" s="747"/>
      <c r="S343" s="757"/>
      <c r="T343" s="771">
        <v>691.77</v>
      </c>
      <c r="U343" s="747"/>
      <c r="V343" s="757"/>
      <c r="W343" s="771">
        <v>303.14</v>
      </c>
      <c r="X343" s="747"/>
      <c r="Y343" s="757"/>
      <c r="Z343" s="771">
        <v>278.54000000000002</v>
      </c>
      <c r="AA343" s="747"/>
      <c r="AB343" s="757"/>
      <c r="AC343" s="771">
        <v>2867.51</v>
      </c>
      <c r="AD343" s="747"/>
      <c r="AE343" s="757"/>
      <c r="AF343" s="771">
        <v>490.86</v>
      </c>
      <c r="AG343" s="747"/>
      <c r="AH343" s="757"/>
      <c r="AI343" s="771">
        <v>294.99</v>
      </c>
      <c r="AJ343" s="747"/>
      <c r="AK343" s="757"/>
      <c r="AL343" s="771">
        <v>986.2</v>
      </c>
      <c r="AM343" s="747"/>
      <c r="AN343" s="757"/>
      <c r="AO343" s="771">
        <v>890.57</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1262.1099999999999</v>
      </c>
      <c r="F344" s="747"/>
      <c r="G344" s="757"/>
      <c r="H344" s="771">
        <v>133.53</v>
      </c>
      <c r="I344" s="747"/>
      <c r="J344" s="757"/>
      <c r="K344" s="771">
        <v>84.08</v>
      </c>
      <c r="L344" s="747"/>
      <c r="M344" s="757"/>
      <c r="N344" s="771">
        <v>102.7</v>
      </c>
      <c r="O344" s="747"/>
      <c r="P344" s="757"/>
      <c r="Q344" s="771">
        <v>84.4</v>
      </c>
      <c r="R344" s="747"/>
      <c r="S344" s="757"/>
      <c r="T344" s="771">
        <v>86.59</v>
      </c>
      <c r="U344" s="747"/>
      <c r="V344" s="757"/>
      <c r="W344" s="771">
        <v>90.67</v>
      </c>
      <c r="X344" s="747"/>
      <c r="Y344" s="757"/>
      <c r="Z344" s="771">
        <v>93.83</v>
      </c>
      <c r="AA344" s="747"/>
      <c r="AB344" s="757"/>
      <c r="AC344" s="771">
        <v>158.07</v>
      </c>
      <c r="AD344" s="747"/>
      <c r="AE344" s="757"/>
      <c r="AF344" s="771">
        <v>98.17</v>
      </c>
      <c r="AG344" s="747"/>
      <c r="AH344" s="757"/>
      <c r="AI344" s="771">
        <v>142.66</v>
      </c>
      <c r="AJ344" s="747"/>
      <c r="AK344" s="757"/>
      <c r="AL344" s="771">
        <v>95.55</v>
      </c>
      <c r="AM344" s="747"/>
      <c r="AN344" s="757"/>
      <c r="AO344" s="771">
        <v>91.86</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-1807.2800000000002</v>
      </c>
      <c r="F345" s="747"/>
      <c r="G345" s="757"/>
      <c r="H345" s="771">
        <v>-414.68</v>
      </c>
      <c r="I345" s="747"/>
      <c r="J345" s="757"/>
      <c r="K345" s="771">
        <v>188.52</v>
      </c>
      <c r="L345" s="747"/>
      <c r="M345" s="757"/>
      <c r="N345" s="771">
        <v>-116.66</v>
      </c>
      <c r="O345" s="747"/>
      <c r="P345" s="757"/>
      <c r="Q345" s="771">
        <v>-52.37</v>
      </c>
      <c r="R345" s="747"/>
      <c r="S345" s="757"/>
      <c r="T345" s="771">
        <v>-264.58999999999997</v>
      </c>
      <c r="U345" s="747"/>
      <c r="V345" s="757"/>
      <c r="W345" s="771">
        <v>25.75</v>
      </c>
      <c r="X345" s="747"/>
      <c r="Y345" s="757"/>
      <c r="Z345" s="771">
        <v>25.75</v>
      </c>
      <c r="AA345" s="747"/>
      <c r="AB345" s="757"/>
      <c r="AC345" s="771">
        <v>-398.91</v>
      </c>
      <c r="AD345" s="747"/>
      <c r="AE345" s="757"/>
      <c r="AF345" s="771">
        <v>-183.24</v>
      </c>
      <c r="AG345" s="747"/>
      <c r="AH345" s="757"/>
      <c r="AI345" s="771">
        <v>-104.06</v>
      </c>
      <c r="AJ345" s="747"/>
      <c r="AK345" s="757"/>
      <c r="AL345" s="771">
        <v>-148.9</v>
      </c>
      <c r="AM345" s="747"/>
      <c r="AN345" s="757"/>
      <c r="AO345" s="771">
        <v>-363.89</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1691.93</v>
      </c>
      <c r="F346" s="747"/>
      <c r="G346" s="757"/>
      <c r="H346" s="771">
        <v>80.69</v>
      </c>
      <c r="I346" s="747"/>
      <c r="J346" s="757"/>
      <c r="K346" s="771">
        <v>160.71</v>
      </c>
      <c r="L346" s="747"/>
      <c r="M346" s="757"/>
      <c r="N346" s="771">
        <v>199.97</v>
      </c>
      <c r="O346" s="747"/>
      <c r="P346" s="757"/>
      <c r="Q346" s="771">
        <v>157.71</v>
      </c>
      <c r="R346" s="747"/>
      <c r="S346" s="757"/>
      <c r="T346" s="771">
        <v>82.26</v>
      </c>
      <c r="U346" s="747"/>
      <c r="V346" s="757"/>
      <c r="W346" s="771">
        <v>96.66</v>
      </c>
      <c r="X346" s="747"/>
      <c r="Y346" s="757"/>
      <c r="Z346" s="771">
        <v>147.26</v>
      </c>
      <c r="AA346" s="747"/>
      <c r="AB346" s="757"/>
      <c r="AC346" s="771">
        <v>40.99</v>
      </c>
      <c r="AD346" s="747"/>
      <c r="AE346" s="757"/>
      <c r="AF346" s="771">
        <v>118.76</v>
      </c>
      <c r="AG346" s="747"/>
      <c r="AH346" s="757"/>
      <c r="AI346" s="771">
        <v>183.15</v>
      </c>
      <c r="AJ346" s="747"/>
      <c r="AK346" s="757"/>
      <c r="AL346" s="771">
        <v>349.07</v>
      </c>
      <c r="AM346" s="747"/>
      <c r="AN346" s="757"/>
      <c r="AO346" s="771">
        <v>74.7</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3366.2000000000003</v>
      </c>
      <c r="F347" s="747"/>
      <c r="G347" s="757"/>
      <c r="H347" s="771">
        <v>192.25</v>
      </c>
      <c r="I347" s="747"/>
      <c r="J347" s="757"/>
      <c r="K347" s="771">
        <v>79.75</v>
      </c>
      <c r="L347" s="747"/>
      <c r="M347" s="757"/>
      <c r="N347" s="771">
        <v>329.75</v>
      </c>
      <c r="O347" s="747"/>
      <c r="P347" s="757"/>
      <c r="Q347" s="771">
        <v>79.75</v>
      </c>
      <c r="R347" s="747"/>
      <c r="S347" s="757"/>
      <c r="T347" s="771">
        <v>248.5</v>
      </c>
      <c r="U347" s="747"/>
      <c r="V347" s="757"/>
      <c r="W347" s="771">
        <v>79.75</v>
      </c>
      <c r="X347" s="747"/>
      <c r="Y347" s="757"/>
      <c r="Z347" s="771">
        <v>79.75</v>
      </c>
      <c r="AA347" s="747"/>
      <c r="AB347" s="757"/>
      <c r="AC347" s="771">
        <v>79.75</v>
      </c>
      <c r="AD347" s="747"/>
      <c r="AE347" s="757"/>
      <c r="AF347" s="771">
        <v>521.79</v>
      </c>
      <c r="AG347" s="747"/>
      <c r="AH347" s="757"/>
      <c r="AI347" s="771">
        <v>1038.3</v>
      </c>
      <c r="AJ347" s="747"/>
      <c r="AK347" s="757"/>
      <c r="AL347" s="771">
        <v>557.11</v>
      </c>
      <c r="AM347" s="747"/>
      <c r="AN347" s="757"/>
      <c r="AO347" s="771">
        <v>79.75</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21103.250000000004</v>
      </c>
      <c r="F348" s="747"/>
      <c r="G348" s="757"/>
      <c r="H348" s="771">
        <v>1372.41</v>
      </c>
      <c r="I348" s="747"/>
      <c r="J348" s="757"/>
      <c r="K348" s="771">
        <v>1083.58</v>
      </c>
      <c r="L348" s="747"/>
      <c r="M348" s="757"/>
      <c r="N348" s="771">
        <v>1428.49</v>
      </c>
      <c r="O348" s="747"/>
      <c r="P348" s="757"/>
      <c r="Q348" s="771">
        <v>1900.91</v>
      </c>
      <c r="R348" s="747"/>
      <c r="S348" s="757"/>
      <c r="T348" s="771">
        <v>2111.31</v>
      </c>
      <c r="U348" s="747"/>
      <c r="V348" s="757"/>
      <c r="W348" s="771">
        <v>1492.37</v>
      </c>
      <c r="X348" s="747"/>
      <c r="Y348" s="757"/>
      <c r="Z348" s="771">
        <v>1652.78</v>
      </c>
      <c r="AA348" s="747"/>
      <c r="AB348" s="757"/>
      <c r="AC348" s="771">
        <v>1589.41</v>
      </c>
      <c r="AD348" s="747"/>
      <c r="AE348" s="757"/>
      <c r="AF348" s="771">
        <v>1452.03</v>
      </c>
      <c r="AG348" s="747"/>
      <c r="AH348" s="757"/>
      <c r="AI348" s="771">
        <v>2142.2399999999998</v>
      </c>
      <c r="AJ348" s="747"/>
      <c r="AK348" s="757"/>
      <c r="AL348" s="771">
        <v>3033.34</v>
      </c>
      <c r="AM348" s="747"/>
      <c r="AN348" s="757"/>
      <c r="AO348" s="771">
        <v>1844.38</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0.23573957688100339</v>
      </c>
      <c r="E352" s="779">
        <v>319842.28999999998</v>
      </c>
      <c r="F352" s="777" t="s">
        <v>119</v>
      </c>
      <c r="G352" s="778">
        <v>0.21427605281479004</v>
      </c>
      <c r="H352" s="779">
        <v>23477.43</v>
      </c>
      <c r="I352" s="777" t="s">
        <v>119</v>
      </c>
      <c r="J352" s="778">
        <v>0.3014858731140414</v>
      </c>
      <c r="K352" s="779">
        <v>29234.25</v>
      </c>
      <c r="L352" s="777" t="s">
        <v>119</v>
      </c>
      <c r="M352" s="778">
        <v>0.22742622868132648</v>
      </c>
      <c r="N352" s="779">
        <v>24754.010000000002</v>
      </c>
      <c r="O352" s="777" t="s">
        <v>119</v>
      </c>
      <c r="P352" s="778">
        <v>0.21911200721519558</v>
      </c>
      <c r="Q352" s="779">
        <v>27642.29</v>
      </c>
      <c r="R352" s="777" t="s">
        <v>119</v>
      </c>
      <c r="S352" s="778">
        <v>0.23119243341727913</v>
      </c>
      <c r="T352" s="779">
        <v>28593.79</v>
      </c>
      <c r="U352" s="777" t="s">
        <v>119</v>
      </c>
      <c r="V352" s="778">
        <v>0.28175750727234439</v>
      </c>
      <c r="W352" s="779">
        <v>23719.859999999997</v>
      </c>
      <c r="X352" s="777" t="s">
        <v>119</v>
      </c>
      <c r="Y352" s="778">
        <v>0.2209587860776164</v>
      </c>
      <c r="Z352" s="779">
        <v>23138.74</v>
      </c>
      <c r="AA352" s="777" t="s">
        <v>119</v>
      </c>
      <c r="AB352" s="778">
        <v>0.26484716384013562</v>
      </c>
      <c r="AC352" s="779">
        <v>28300.490000000009</v>
      </c>
      <c r="AD352" s="777" t="s">
        <v>119</v>
      </c>
      <c r="AE352" s="778">
        <v>0.23907703251582837</v>
      </c>
      <c r="AF352" s="779">
        <v>26907.189999999995</v>
      </c>
      <c r="AG352" s="777" t="s">
        <v>119</v>
      </c>
      <c r="AH352" s="778">
        <v>0.22587162513993805</v>
      </c>
      <c r="AI352" s="779">
        <v>29362.270000000004</v>
      </c>
      <c r="AJ352" s="777" t="s">
        <v>119</v>
      </c>
      <c r="AK352" s="778">
        <v>0.1868067594013276</v>
      </c>
      <c r="AL352" s="779">
        <v>28358.23</v>
      </c>
      <c r="AM352" s="777" t="s">
        <v>119</v>
      </c>
      <c r="AN352" s="778">
        <v>0.25979579498110295</v>
      </c>
      <c r="AO352" s="779">
        <v>26353.74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0.65935705512667697</v>
      </c>
      <c r="E354" s="789">
        <v>894590.01</v>
      </c>
      <c r="F354" s="777" t="s">
        <v>119</v>
      </c>
      <c r="G354" s="815">
        <v>0.65397255432967272</v>
      </c>
      <c r="H354" s="789">
        <v>71653.339999999909</v>
      </c>
      <c r="I354" s="777" t="s">
        <v>119</v>
      </c>
      <c r="J354" s="815">
        <v>0.78980754632260997</v>
      </c>
      <c r="K354" s="789">
        <v>76585.45</v>
      </c>
      <c r="L354" s="777" t="s">
        <v>119</v>
      </c>
      <c r="M354" s="815">
        <v>0.72035919621940103</v>
      </c>
      <c r="N354" s="789">
        <v>78406.869999999908</v>
      </c>
      <c r="O354" s="777" t="s">
        <v>119</v>
      </c>
      <c r="P354" s="815">
        <v>0.57974215728814582</v>
      </c>
      <c r="Q354" s="789">
        <v>73137.94</v>
      </c>
      <c r="R354" s="777" t="s">
        <v>119</v>
      </c>
      <c r="S354" s="815">
        <v>0.67395838327756818</v>
      </c>
      <c r="T354" s="789">
        <v>83354.91</v>
      </c>
      <c r="U354" s="777" t="s">
        <v>119</v>
      </c>
      <c r="V354" s="815">
        <v>0.76640644330481533</v>
      </c>
      <c r="W354" s="789">
        <v>64520.20999999989</v>
      </c>
      <c r="X354" s="777" t="s">
        <v>119</v>
      </c>
      <c r="Y354" s="815">
        <v>0.65049435297328528</v>
      </c>
      <c r="Z354" s="789">
        <v>68119.58</v>
      </c>
      <c r="AA354" s="777" t="s">
        <v>119</v>
      </c>
      <c r="AB354" s="815">
        <v>0.73329987395177931</v>
      </c>
      <c r="AC354" s="789">
        <v>78357.440000000002</v>
      </c>
      <c r="AD354" s="777" t="s">
        <v>119</v>
      </c>
      <c r="AE354" s="815">
        <v>0.66701710081316901</v>
      </c>
      <c r="AF354" s="789">
        <v>75070.179999999993</v>
      </c>
      <c r="AG354" s="777" t="s">
        <v>119</v>
      </c>
      <c r="AH354" s="815">
        <v>0.57491784900987652</v>
      </c>
      <c r="AI354" s="789">
        <v>74736.669999999896</v>
      </c>
      <c r="AJ354" s="777" t="s">
        <v>119</v>
      </c>
      <c r="AK354" s="815">
        <v>0.50901721654257348</v>
      </c>
      <c r="AL354" s="789">
        <v>77271.4399999999</v>
      </c>
      <c r="AM354" s="777" t="s">
        <v>119</v>
      </c>
      <c r="AN354" s="815">
        <v>0.72334215396439017</v>
      </c>
      <c r="AO354" s="789">
        <v>73375.98</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462171.09999999776</v>
      </c>
      <c r="F356" s="816"/>
      <c r="G356" s="817"/>
      <c r="H356" s="798">
        <v>37912.939999999755</v>
      </c>
      <c r="I356" s="816"/>
      <c r="J356" s="817"/>
      <c r="K356" s="798">
        <v>20381.779999999781</v>
      </c>
      <c r="L356" s="816"/>
      <c r="M356" s="817"/>
      <c r="N356" s="798">
        <v>30437.25999999998</v>
      </c>
      <c r="O356" s="816"/>
      <c r="P356" s="817"/>
      <c r="Q356" s="798">
        <v>53018.039999999688</v>
      </c>
      <c r="R356" s="816"/>
      <c r="S356" s="817"/>
      <c r="T356" s="798">
        <v>40324.699999999779</v>
      </c>
      <c r="U356" s="816"/>
      <c r="V356" s="817"/>
      <c r="W356" s="798">
        <v>19665.160000000091</v>
      </c>
      <c r="X356" s="816"/>
      <c r="Y356" s="817"/>
      <c r="Z356" s="798">
        <v>36600.129999999888</v>
      </c>
      <c r="AA356" s="816"/>
      <c r="AB356" s="817"/>
      <c r="AC356" s="798">
        <v>28498.489999999787</v>
      </c>
      <c r="AD356" s="816"/>
      <c r="AE356" s="817"/>
      <c r="AF356" s="798">
        <v>37475.929999999993</v>
      </c>
      <c r="AG356" s="816"/>
      <c r="AH356" s="817"/>
      <c r="AI356" s="798">
        <v>55258.719999999899</v>
      </c>
      <c r="AJ356" s="816"/>
      <c r="AK356" s="817"/>
      <c r="AL356" s="798">
        <v>74533.71999999987</v>
      </c>
      <c r="AM356" s="816"/>
      <c r="AN356" s="817"/>
      <c r="AO356" s="798">
        <v>28064.229999999894</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3935</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3935</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62756561.019999921</v>
      </c>
      <c r="F409" s="878"/>
      <c r="G409" s="879"/>
      <c r="H409" s="880">
        <v>4219938.79</v>
      </c>
      <c r="I409" s="878"/>
      <c r="J409" s="879"/>
      <c r="K409" s="880">
        <v>5869044.6399999997</v>
      </c>
      <c r="L409" s="878"/>
      <c r="M409" s="879"/>
      <c r="N409" s="880">
        <v>6132076.5800000001</v>
      </c>
      <c r="O409" s="878"/>
      <c r="P409" s="879"/>
      <c r="Q409" s="880">
        <v>5889184.6299999896</v>
      </c>
      <c r="R409" s="878"/>
      <c r="S409" s="879"/>
      <c r="T409" s="880">
        <v>6535324.9800000004</v>
      </c>
      <c r="U409" s="878"/>
      <c r="V409" s="879"/>
      <c r="W409" s="880">
        <v>4003551.9599999897</v>
      </c>
      <c r="X409" s="878"/>
      <c r="Y409" s="879"/>
      <c r="Z409" s="880">
        <v>6651956.52999999</v>
      </c>
      <c r="AA409" s="878"/>
      <c r="AB409" s="879"/>
      <c r="AC409" s="880">
        <v>6465509.5399999879</v>
      </c>
      <c r="AD409" s="878"/>
      <c r="AE409" s="879"/>
      <c r="AF409" s="880">
        <v>4326173.8899999894</v>
      </c>
      <c r="AG409" s="878"/>
      <c r="AH409" s="879"/>
      <c r="AI409" s="880">
        <v>4756792.0799999991</v>
      </c>
      <c r="AJ409" s="878"/>
      <c r="AK409" s="879"/>
      <c r="AL409" s="880">
        <v>4218159.4199999794</v>
      </c>
      <c r="AM409" s="878"/>
      <c r="AN409" s="879"/>
      <c r="AO409" s="880">
        <v>3688847.98</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7229609.4199999878</v>
      </c>
      <c r="F410" s="881"/>
      <c r="G410" s="882"/>
      <c r="H410" s="883">
        <v>439445.35999999946</v>
      </c>
      <c r="I410" s="881"/>
      <c r="J410" s="882"/>
      <c r="K410" s="883">
        <v>508866.40999999957</v>
      </c>
      <c r="L410" s="881"/>
      <c r="M410" s="882"/>
      <c r="N410" s="883">
        <v>638443.12999999872</v>
      </c>
      <c r="O410" s="881"/>
      <c r="P410" s="882"/>
      <c r="Q410" s="883">
        <v>725884.59999999916</v>
      </c>
      <c r="R410" s="881"/>
      <c r="S410" s="882"/>
      <c r="T410" s="883">
        <v>692227.01999999955</v>
      </c>
      <c r="U410" s="881"/>
      <c r="V410" s="882"/>
      <c r="W410" s="883">
        <v>479069.4199999994</v>
      </c>
      <c r="X410" s="881"/>
      <c r="Y410" s="882"/>
      <c r="Z410" s="883">
        <v>666917.35999999847</v>
      </c>
      <c r="AA410" s="881"/>
      <c r="AB410" s="882"/>
      <c r="AC410" s="883">
        <v>640665.66999999795</v>
      </c>
      <c r="AD410" s="881"/>
      <c r="AE410" s="882"/>
      <c r="AF410" s="883">
        <v>572539.7799999998</v>
      </c>
      <c r="AG410" s="881"/>
      <c r="AH410" s="882"/>
      <c r="AI410" s="883">
        <v>663087.62999999896</v>
      </c>
      <c r="AJ410" s="881"/>
      <c r="AK410" s="882"/>
      <c r="AL410" s="883">
        <v>744838.01999999851</v>
      </c>
      <c r="AM410" s="881"/>
      <c r="AN410" s="882"/>
      <c r="AO410" s="883">
        <v>457625.01999999973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v>0</v>
      </c>
      <c r="H411" s="886"/>
      <c r="I411" s="884"/>
      <c r="J411" s="885">
        <v>0</v>
      </c>
      <c r="K411" s="886"/>
      <c r="L411" s="884"/>
      <c r="M411" s="885">
        <v>0</v>
      </c>
      <c r="N411" s="886"/>
      <c r="O411" s="884"/>
      <c r="P411" s="885">
        <v>0</v>
      </c>
      <c r="Q411" s="886"/>
      <c r="R411" s="884"/>
      <c r="S411" s="885">
        <v>0</v>
      </c>
      <c r="T411" s="886"/>
      <c r="U411" s="884"/>
      <c r="V411" s="885">
        <v>0</v>
      </c>
      <c r="W411" s="886"/>
      <c r="X411" s="884"/>
      <c r="Y411" s="885">
        <v>0</v>
      </c>
      <c r="Z411" s="886"/>
      <c r="AA411" s="884"/>
      <c r="AB411" s="885">
        <v>0</v>
      </c>
      <c r="AC411" s="886"/>
      <c r="AD411" s="884"/>
      <c r="AE411" s="885">
        <v>0</v>
      </c>
      <c r="AF411" s="886"/>
      <c r="AG411" s="884"/>
      <c r="AH411" s="885">
        <v>0</v>
      </c>
      <c r="AI411" s="886"/>
      <c r="AJ411" s="884"/>
      <c r="AK411" s="885">
        <v>0</v>
      </c>
      <c r="AL411" s="886"/>
      <c r="AM411" s="884"/>
      <c r="AN411" s="885">
        <v>0</v>
      </c>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0.35475116642965138</v>
      </c>
      <c r="D412" s="888">
        <v>644.68742180094785</v>
      </c>
      <c r="E412" s="886">
        <v>680145.23</v>
      </c>
      <c r="F412" s="889"/>
      <c r="G412" s="888">
        <v>948.56295454545466</v>
      </c>
      <c r="H412" s="886">
        <v>41736.770000000004</v>
      </c>
      <c r="I412" s="889"/>
      <c r="J412" s="888">
        <v>830.30323943661972</v>
      </c>
      <c r="K412" s="886">
        <v>58951.53</v>
      </c>
      <c r="L412" s="889"/>
      <c r="M412" s="888">
        <v>1122.4584285714286</v>
      </c>
      <c r="N412" s="886">
        <v>78572.09</v>
      </c>
      <c r="O412" s="889"/>
      <c r="P412" s="888">
        <v>892.4939130434783</v>
      </c>
      <c r="Q412" s="886">
        <v>61582.080000000002</v>
      </c>
      <c r="R412" s="889"/>
      <c r="S412" s="888">
        <v>824.02072463768104</v>
      </c>
      <c r="T412" s="886">
        <v>56857.429999999993</v>
      </c>
      <c r="U412" s="889"/>
      <c r="V412" s="888">
        <v>1069.7884999999999</v>
      </c>
      <c r="W412" s="886">
        <v>42791.539999999994</v>
      </c>
      <c r="X412" s="889"/>
      <c r="Y412" s="888">
        <v>935.36558441558429</v>
      </c>
      <c r="Z412" s="886">
        <v>72023.149999999994</v>
      </c>
      <c r="AA412" s="889"/>
      <c r="AB412" s="888">
        <v>960.39802469135805</v>
      </c>
      <c r="AC412" s="886">
        <v>77792.240000000005</v>
      </c>
      <c r="AD412" s="889"/>
      <c r="AE412" s="888">
        <v>1178.2652380952381</v>
      </c>
      <c r="AF412" s="886">
        <v>49487.14</v>
      </c>
      <c r="AG412" s="889"/>
      <c r="AH412" s="888">
        <v>1140.4980851063831</v>
      </c>
      <c r="AI412" s="886">
        <v>53603.41</v>
      </c>
      <c r="AJ412" s="889"/>
      <c r="AK412" s="888">
        <v>1306.9923684210526</v>
      </c>
      <c r="AL412" s="886">
        <v>49665.71</v>
      </c>
      <c r="AM412" s="889"/>
      <c r="AN412" s="888">
        <v>1196.1980645161291</v>
      </c>
      <c r="AO412" s="886">
        <v>37082.14</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0.28406787019291352</v>
      </c>
      <c r="D413" s="891">
        <v>344.83107645875248</v>
      </c>
      <c r="E413" s="880">
        <v>342762.08999999997</v>
      </c>
      <c r="F413" s="892"/>
      <c r="G413" s="891">
        <v>378.1336363636363</v>
      </c>
      <c r="H413" s="880">
        <v>16637.879999999997</v>
      </c>
      <c r="I413" s="892"/>
      <c r="J413" s="891">
        <v>417.47295774647893</v>
      </c>
      <c r="K413" s="880">
        <v>29640.58</v>
      </c>
      <c r="L413" s="892"/>
      <c r="M413" s="891">
        <v>430.93742857142854</v>
      </c>
      <c r="N413" s="880">
        <v>30165.62</v>
      </c>
      <c r="O413" s="892"/>
      <c r="P413" s="891">
        <v>402.80565217391307</v>
      </c>
      <c r="Q413" s="880">
        <v>27793.590000000004</v>
      </c>
      <c r="R413" s="892"/>
      <c r="S413" s="891">
        <v>612.12086956521739</v>
      </c>
      <c r="T413" s="880">
        <v>42236.34</v>
      </c>
      <c r="U413" s="892"/>
      <c r="V413" s="891">
        <v>446.24250000000001</v>
      </c>
      <c r="W413" s="880">
        <v>17849.7</v>
      </c>
      <c r="X413" s="892"/>
      <c r="Y413" s="891">
        <v>438.8764935064936</v>
      </c>
      <c r="Z413" s="880">
        <v>33793.490000000005</v>
      </c>
      <c r="AA413" s="892"/>
      <c r="AB413" s="891">
        <v>353.86259259259265</v>
      </c>
      <c r="AC413" s="880">
        <v>28662.870000000003</v>
      </c>
      <c r="AD413" s="892"/>
      <c r="AE413" s="891">
        <v>725.07357142857143</v>
      </c>
      <c r="AF413" s="880">
        <v>30453.09</v>
      </c>
      <c r="AG413" s="892"/>
      <c r="AH413" s="891">
        <v>779.25659574468079</v>
      </c>
      <c r="AI413" s="880">
        <v>36625.06</v>
      </c>
      <c r="AJ413" s="892"/>
      <c r="AK413" s="891">
        <v>670.3828947368421</v>
      </c>
      <c r="AL413" s="880">
        <v>25474.55</v>
      </c>
      <c r="AM413" s="892"/>
      <c r="AN413" s="891">
        <v>755.78451612903223</v>
      </c>
      <c r="AO413" s="880">
        <v>23429.32</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90.811971830985911</v>
      </c>
      <c r="E414" s="886">
        <v>90267.099999999991</v>
      </c>
      <c r="F414" s="889"/>
      <c r="G414" s="888">
        <v>206.27204545454543</v>
      </c>
      <c r="H414" s="886">
        <v>9075.9699999999993</v>
      </c>
      <c r="I414" s="889"/>
      <c r="J414" s="888">
        <v>129.04957746478874</v>
      </c>
      <c r="K414" s="886">
        <v>9162.52</v>
      </c>
      <c r="L414" s="889"/>
      <c r="M414" s="888">
        <v>90.755428571428567</v>
      </c>
      <c r="N414" s="886">
        <v>6352.88</v>
      </c>
      <c r="O414" s="889"/>
      <c r="P414" s="888">
        <v>81.83623188405798</v>
      </c>
      <c r="Q414" s="886">
        <v>5646.7000000000007</v>
      </c>
      <c r="R414" s="889"/>
      <c r="S414" s="888">
        <v>204.35347826086957</v>
      </c>
      <c r="T414" s="886">
        <v>14100.39</v>
      </c>
      <c r="U414" s="889"/>
      <c r="V414" s="888">
        <v>114.94475000000003</v>
      </c>
      <c r="W414" s="886">
        <v>4597.7900000000009</v>
      </c>
      <c r="X414" s="889"/>
      <c r="Y414" s="888">
        <v>82.070779220779215</v>
      </c>
      <c r="Z414" s="886">
        <v>6319.45</v>
      </c>
      <c r="AA414" s="889"/>
      <c r="AB414" s="888">
        <v>129.01493827160496</v>
      </c>
      <c r="AC414" s="886">
        <v>10450.210000000001</v>
      </c>
      <c r="AD414" s="889"/>
      <c r="AE414" s="888">
        <v>174.72095238095238</v>
      </c>
      <c r="AF414" s="886">
        <v>7338.2800000000007</v>
      </c>
      <c r="AG414" s="889"/>
      <c r="AH414" s="888">
        <v>123.74659574468086</v>
      </c>
      <c r="AI414" s="886">
        <v>5816.09</v>
      </c>
      <c r="AJ414" s="889"/>
      <c r="AK414" s="888">
        <v>193.26921052631579</v>
      </c>
      <c r="AL414" s="886">
        <v>7344.23</v>
      </c>
      <c r="AM414" s="889"/>
      <c r="AN414" s="888">
        <v>131.05129032258066</v>
      </c>
      <c r="AO414" s="886">
        <v>4062.59</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34.408450704225359</v>
      </c>
      <c r="E415" s="886">
        <v>34202.000000000007</v>
      </c>
      <c r="F415" s="889"/>
      <c r="G415" s="888">
        <v>9.6213636363636361</v>
      </c>
      <c r="H415" s="886">
        <v>423.34</v>
      </c>
      <c r="I415" s="889"/>
      <c r="J415" s="888">
        <v>37.779154929577459</v>
      </c>
      <c r="K415" s="886">
        <v>2682.3199999999997</v>
      </c>
      <c r="L415" s="889"/>
      <c r="M415" s="888">
        <v>20.613428571428571</v>
      </c>
      <c r="N415" s="886">
        <v>1442.94</v>
      </c>
      <c r="O415" s="889"/>
      <c r="P415" s="888">
        <v>43.456086956521744</v>
      </c>
      <c r="Q415" s="886">
        <v>2998.4700000000003</v>
      </c>
      <c r="R415" s="889"/>
      <c r="S415" s="888">
        <v>8.5134782608695652</v>
      </c>
      <c r="T415" s="886">
        <v>587.42999999999995</v>
      </c>
      <c r="U415" s="889"/>
      <c r="V415" s="888">
        <v>61.338000000000001</v>
      </c>
      <c r="W415" s="886">
        <v>2453.52</v>
      </c>
      <c r="X415" s="889"/>
      <c r="Y415" s="888">
        <v>68.809870129870134</v>
      </c>
      <c r="Z415" s="886">
        <v>5298.3600000000006</v>
      </c>
      <c r="AA415" s="889"/>
      <c r="AB415" s="888">
        <v>53.25271604938272</v>
      </c>
      <c r="AC415" s="886">
        <v>4313.47</v>
      </c>
      <c r="AD415" s="889"/>
      <c r="AE415" s="888">
        <v>111.09333333333333</v>
      </c>
      <c r="AF415" s="886">
        <v>4665.92</v>
      </c>
      <c r="AG415" s="889"/>
      <c r="AH415" s="888">
        <v>67.763191489361702</v>
      </c>
      <c r="AI415" s="886">
        <v>3184.87</v>
      </c>
      <c r="AJ415" s="889"/>
      <c r="AK415" s="888">
        <v>182.45842105263159</v>
      </c>
      <c r="AL415" s="886">
        <v>6933.42</v>
      </c>
      <c r="AM415" s="889"/>
      <c r="AN415" s="888">
        <v>-25.22774193548387</v>
      </c>
      <c r="AO415" s="886">
        <v>-782.06</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142.63945674044265</v>
      </c>
      <c r="E416" s="880">
        <v>141783.62</v>
      </c>
      <c r="F416" s="892"/>
      <c r="G416" s="891">
        <v>205.06613636363636</v>
      </c>
      <c r="H416" s="880">
        <v>9022.91</v>
      </c>
      <c r="I416" s="892"/>
      <c r="J416" s="891">
        <v>82.918169014084512</v>
      </c>
      <c r="K416" s="880">
        <v>5887.1900000000005</v>
      </c>
      <c r="L416" s="892"/>
      <c r="M416" s="891">
        <v>214.958</v>
      </c>
      <c r="N416" s="880">
        <v>15047.06</v>
      </c>
      <c r="O416" s="892"/>
      <c r="P416" s="891">
        <v>234.0440579710145</v>
      </c>
      <c r="Q416" s="880">
        <v>16149.04</v>
      </c>
      <c r="R416" s="892"/>
      <c r="S416" s="891">
        <v>215.15942028985506</v>
      </c>
      <c r="T416" s="880">
        <v>14846</v>
      </c>
      <c r="U416" s="892"/>
      <c r="V416" s="891">
        <v>307.06824999999998</v>
      </c>
      <c r="W416" s="880">
        <v>12282.73</v>
      </c>
      <c r="X416" s="892"/>
      <c r="Y416" s="891">
        <v>144.83896103896103</v>
      </c>
      <c r="Z416" s="880">
        <v>11152.599999999999</v>
      </c>
      <c r="AA416" s="892"/>
      <c r="AB416" s="891">
        <v>128.46617283950616</v>
      </c>
      <c r="AC416" s="880">
        <v>10405.759999999998</v>
      </c>
      <c r="AD416" s="892"/>
      <c r="AE416" s="891">
        <v>311.75333333333333</v>
      </c>
      <c r="AF416" s="880">
        <v>13093.64</v>
      </c>
      <c r="AG416" s="892"/>
      <c r="AH416" s="891">
        <v>294.73042553191488</v>
      </c>
      <c r="AI416" s="880">
        <v>13852.33</v>
      </c>
      <c r="AJ416" s="892"/>
      <c r="AK416" s="891">
        <v>338.85578947368424</v>
      </c>
      <c r="AL416" s="880">
        <v>12876.52</v>
      </c>
      <c r="AM416" s="892"/>
      <c r="AN416" s="891">
        <v>231.22064516129032</v>
      </c>
      <c r="AO416" s="880">
        <v>7167.84</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248.43306841046243</v>
      </c>
      <c r="E417" s="886">
        <v>246942.46999999965</v>
      </c>
      <c r="F417" s="889"/>
      <c r="G417" s="888">
        <v>428.56409090909074</v>
      </c>
      <c r="H417" s="886">
        <v>18856.819999999992</v>
      </c>
      <c r="I417" s="889"/>
      <c r="J417" s="888">
        <v>155.29605633802817</v>
      </c>
      <c r="K417" s="886">
        <v>11026.02</v>
      </c>
      <c r="L417" s="889"/>
      <c r="M417" s="888">
        <v>336.98571428571427</v>
      </c>
      <c r="N417" s="886">
        <v>23589</v>
      </c>
      <c r="O417" s="889"/>
      <c r="P417" s="888">
        <v>305.23434782608683</v>
      </c>
      <c r="Q417" s="886">
        <v>21061.169999999991</v>
      </c>
      <c r="R417" s="889"/>
      <c r="S417" s="888">
        <v>323.73376811594198</v>
      </c>
      <c r="T417" s="886">
        <v>22337.629999999997</v>
      </c>
      <c r="U417" s="889"/>
      <c r="V417" s="888">
        <v>537.85349999999755</v>
      </c>
      <c r="W417" s="886">
        <v>21514.139999999901</v>
      </c>
      <c r="X417" s="889"/>
      <c r="Y417" s="888">
        <v>204.16116883116882</v>
      </c>
      <c r="Z417" s="886">
        <v>15720.41</v>
      </c>
      <c r="AA417" s="889"/>
      <c r="AB417" s="888">
        <v>140.38037037037037</v>
      </c>
      <c r="AC417" s="886">
        <v>11370.81</v>
      </c>
      <c r="AD417" s="889"/>
      <c r="AE417" s="888">
        <v>525.8449999999973</v>
      </c>
      <c r="AF417" s="886">
        <v>22085.489999999889</v>
      </c>
      <c r="AG417" s="889"/>
      <c r="AH417" s="888">
        <v>516.18319148936166</v>
      </c>
      <c r="AI417" s="886">
        <v>24260.61</v>
      </c>
      <c r="AJ417" s="889"/>
      <c r="AK417" s="888">
        <v>798.60973684210535</v>
      </c>
      <c r="AL417" s="886">
        <v>30347.170000000002</v>
      </c>
      <c r="AM417" s="889"/>
      <c r="AN417" s="888">
        <v>799.13548387096455</v>
      </c>
      <c r="AO417" s="886">
        <v>24773.199999999903</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368.30723340040242</v>
      </c>
      <c r="E418" s="886">
        <v>366097.39</v>
      </c>
      <c r="F418" s="889"/>
      <c r="G418" s="888"/>
      <c r="H418" s="886">
        <v>28992.99</v>
      </c>
      <c r="I418" s="889"/>
      <c r="J418" s="888"/>
      <c r="K418" s="886">
        <v>38833.89</v>
      </c>
      <c r="L418" s="889"/>
      <c r="M418" s="888"/>
      <c r="N418" s="886">
        <v>43149.67</v>
      </c>
      <c r="O418" s="889"/>
      <c r="P418" s="888"/>
      <c r="Q418" s="886">
        <v>43374.68</v>
      </c>
      <c r="R418" s="889"/>
      <c r="S418" s="888"/>
      <c r="T418" s="886">
        <v>51836.43</v>
      </c>
      <c r="U418" s="889"/>
      <c r="V418" s="888"/>
      <c r="W418" s="886">
        <v>47211.58</v>
      </c>
      <c r="X418" s="889"/>
      <c r="Y418" s="888"/>
      <c r="Z418" s="886">
        <v>49031.799999999996</v>
      </c>
      <c r="AA418" s="889"/>
      <c r="AB418" s="888"/>
      <c r="AC418" s="886">
        <v>36756.18</v>
      </c>
      <c r="AD418" s="889"/>
      <c r="AE418" s="888"/>
      <c r="AF418" s="886">
        <v>33130.21</v>
      </c>
      <c r="AG418" s="889"/>
      <c r="AH418" s="888"/>
      <c r="AI418" s="886">
        <v>29735.25</v>
      </c>
      <c r="AJ418" s="889"/>
      <c r="AK418" s="888"/>
      <c r="AL418" s="886">
        <v>-34841</v>
      </c>
      <c r="AM418" s="889"/>
      <c r="AN418" s="888"/>
      <c r="AO418" s="886">
        <v>-1114.2900000000004</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c r="F419" s="889"/>
      <c r="G419" s="888"/>
      <c r="H419" s="886"/>
      <c r="I419" s="889"/>
      <c r="J419" s="888"/>
      <c r="K419" s="886"/>
      <c r="L419" s="889"/>
      <c r="M419" s="888"/>
      <c r="N419" s="886"/>
      <c r="O419" s="889"/>
      <c r="P419" s="888"/>
      <c r="Q419" s="886"/>
      <c r="R419" s="889"/>
      <c r="S419" s="888"/>
      <c r="T419" s="886"/>
      <c r="U419" s="889"/>
      <c r="V419" s="888"/>
      <c r="W419" s="886"/>
      <c r="X419" s="889"/>
      <c r="Y419" s="888"/>
      <c r="Z419" s="886"/>
      <c r="AA419" s="889"/>
      <c r="AB419" s="888"/>
      <c r="AC419" s="886"/>
      <c r="AD419" s="889"/>
      <c r="AE419" s="888"/>
      <c r="AF419" s="886"/>
      <c r="AG419" s="889"/>
      <c r="AH419" s="888"/>
      <c r="AI419" s="886"/>
      <c r="AJ419" s="889"/>
      <c r="AK419" s="888"/>
      <c r="AL419" s="886"/>
      <c r="AM419" s="889"/>
      <c r="AN419" s="888"/>
      <c r="AO419" s="886"/>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c r="F420" s="889"/>
      <c r="G420" s="888"/>
      <c r="H420" s="886"/>
      <c r="I420" s="889"/>
      <c r="J420" s="888"/>
      <c r="K420" s="886"/>
      <c r="L420" s="889"/>
      <c r="M420" s="888"/>
      <c r="N420" s="886"/>
      <c r="O420" s="889"/>
      <c r="P420" s="888"/>
      <c r="Q420" s="886"/>
      <c r="R420" s="889"/>
      <c r="S420" s="888"/>
      <c r="T420" s="886"/>
      <c r="U420" s="889"/>
      <c r="V420" s="888"/>
      <c r="W420" s="886"/>
      <c r="X420" s="889"/>
      <c r="Y420" s="888"/>
      <c r="Z420" s="886"/>
      <c r="AA420" s="889"/>
      <c r="AB420" s="888"/>
      <c r="AC420" s="886"/>
      <c r="AD420" s="889"/>
      <c r="AE420" s="888"/>
      <c r="AF420" s="886"/>
      <c r="AG420" s="889"/>
      <c r="AH420" s="888"/>
      <c r="AI420" s="886"/>
      <c r="AJ420" s="889"/>
      <c r="AK420" s="888"/>
      <c r="AL420" s="886"/>
      <c r="AM420" s="889"/>
      <c r="AN420" s="888"/>
      <c r="AO420" s="886"/>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c r="F421" s="889"/>
      <c r="G421" s="888"/>
      <c r="H421" s="886"/>
      <c r="I421" s="889"/>
      <c r="J421" s="888"/>
      <c r="K421" s="886"/>
      <c r="L421" s="889"/>
      <c r="M421" s="888"/>
      <c r="N421" s="886"/>
      <c r="O421" s="889"/>
      <c r="P421" s="888"/>
      <c r="Q421" s="886"/>
      <c r="R421" s="889"/>
      <c r="S421" s="888"/>
      <c r="T421" s="886"/>
      <c r="U421" s="889"/>
      <c r="V421" s="888"/>
      <c r="W421" s="886"/>
      <c r="X421" s="889"/>
      <c r="Y421" s="888"/>
      <c r="Z421" s="886"/>
      <c r="AA421" s="889"/>
      <c r="AB421" s="888"/>
      <c r="AC421" s="886"/>
      <c r="AD421" s="889"/>
      <c r="AE421" s="888"/>
      <c r="AF421" s="886"/>
      <c r="AG421" s="889"/>
      <c r="AH421" s="888"/>
      <c r="AI421" s="886"/>
      <c r="AJ421" s="889"/>
      <c r="AK421" s="888"/>
      <c r="AL421" s="886"/>
      <c r="AM421" s="889"/>
      <c r="AN421" s="888"/>
      <c r="AO421" s="886"/>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0.26311240199750696</v>
      </c>
      <c r="D422" s="894">
        <v>1874.1186793462193</v>
      </c>
      <c r="E422" s="895">
        <v>1902199.9</v>
      </c>
      <c r="F422" s="893"/>
      <c r="G422" s="896"/>
      <c r="H422" s="895">
        <v>124746.68</v>
      </c>
      <c r="I422" s="893"/>
      <c r="J422" s="896"/>
      <c r="K422" s="895">
        <v>156184.04999999999</v>
      </c>
      <c r="L422" s="893"/>
      <c r="M422" s="896"/>
      <c r="N422" s="895">
        <v>198319.26</v>
      </c>
      <c r="O422" s="893"/>
      <c r="P422" s="896"/>
      <c r="Q422" s="895">
        <v>178605.72999999899</v>
      </c>
      <c r="R422" s="893"/>
      <c r="S422" s="896"/>
      <c r="T422" s="895">
        <v>202801.649999999</v>
      </c>
      <c r="U422" s="893"/>
      <c r="V422" s="896"/>
      <c r="W422" s="895">
        <v>148701</v>
      </c>
      <c r="X422" s="893"/>
      <c r="Y422" s="896"/>
      <c r="Z422" s="895">
        <v>193339.25999999899</v>
      </c>
      <c r="AA422" s="893"/>
      <c r="AB422" s="896"/>
      <c r="AC422" s="895">
        <v>179751.54</v>
      </c>
      <c r="AD422" s="893"/>
      <c r="AE422" s="896"/>
      <c r="AF422" s="895">
        <v>160253.76999999999</v>
      </c>
      <c r="AG422" s="893"/>
      <c r="AH422" s="896"/>
      <c r="AI422" s="895">
        <v>167077.62</v>
      </c>
      <c r="AJ422" s="893"/>
      <c r="AK422" s="896"/>
      <c r="AL422" s="895">
        <v>97800.6</v>
      </c>
      <c r="AM422" s="893"/>
      <c r="AN422" s="896"/>
      <c r="AO422" s="895">
        <v>94618.74</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187237.77999999988</v>
      </c>
      <c r="F423" s="889"/>
      <c r="G423" s="888"/>
      <c r="H423" s="897">
        <v>13279.16</v>
      </c>
      <c r="I423" s="889"/>
      <c r="J423" s="888"/>
      <c r="K423" s="897">
        <v>18048.38</v>
      </c>
      <c r="L423" s="889"/>
      <c r="M423" s="888"/>
      <c r="N423" s="897">
        <v>16471.45</v>
      </c>
      <c r="O423" s="889"/>
      <c r="P423" s="888"/>
      <c r="Q423" s="897">
        <v>14884.91</v>
      </c>
      <c r="R423" s="889"/>
      <c r="S423" s="888"/>
      <c r="T423" s="897">
        <v>18548.37</v>
      </c>
      <c r="U423" s="889"/>
      <c r="V423" s="888"/>
      <c r="W423" s="897">
        <v>15663.76</v>
      </c>
      <c r="X423" s="889"/>
      <c r="Y423" s="888"/>
      <c r="Z423" s="897">
        <v>15663.77</v>
      </c>
      <c r="AA423" s="889"/>
      <c r="AB423" s="888"/>
      <c r="AC423" s="897">
        <v>13875.31</v>
      </c>
      <c r="AD423" s="889"/>
      <c r="AE423" s="888"/>
      <c r="AF423" s="897">
        <v>15144.54</v>
      </c>
      <c r="AG423" s="889"/>
      <c r="AH423" s="888"/>
      <c r="AI423" s="897">
        <v>15663.77</v>
      </c>
      <c r="AJ423" s="889"/>
      <c r="AK423" s="888"/>
      <c r="AL423" s="897">
        <v>18548.379999999899</v>
      </c>
      <c r="AM423" s="889"/>
      <c r="AN423" s="888"/>
      <c r="AO423" s="897">
        <v>11445.98</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611283.19999999984</v>
      </c>
      <c r="F424" s="889"/>
      <c r="G424" s="888"/>
      <c r="H424" s="886">
        <v>48979.11</v>
      </c>
      <c r="I424" s="889"/>
      <c r="J424" s="888"/>
      <c r="K424" s="886">
        <v>57197.599999999999</v>
      </c>
      <c r="L424" s="889"/>
      <c r="M424" s="888"/>
      <c r="N424" s="886">
        <v>59565.27</v>
      </c>
      <c r="O424" s="889"/>
      <c r="P424" s="888"/>
      <c r="Q424" s="886">
        <v>39822.400000000001</v>
      </c>
      <c r="R424" s="889"/>
      <c r="S424" s="888"/>
      <c r="T424" s="886">
        <v>43996.639999999999</v>
      </c>
      <c r="U424" s="889"/>
      <c r="V424" s="888"/>
      <c r="W424" s="886">
        <v>52828.59</v>
      </c>
      <c r="X424" s="889"/>
      <c r="Y424" s="888"/>
      <c r="Z424" s="886">
        <v>49132.22</v>
      </c>
      <c r="AA424" s="889"/>
      <c r="AB424" s="888"/>
      <c r="AC424" s="886">
        <v>51795.89</v>
      </c>
      <c r="AD424" s="889"/>
      <c r="AE424" s="888"/>
      <c r="AF424" s="886">
        <v>49140.14</v>
      </c>
      <c r="AG424" s="889"/>
      <c r="AH424" s="888"/>
      <c r="AI424" s="886">
        <v>40554.18</v>
      </c>
      <c r="AJ424" s="889"/>
      <c r="AK424" s="888"/>
      <c r="AL424" s="886">
        <v>62349.029999999897</v>
      </c>
      <c r="AM424" s="889"/>
      <c r="AN424" s="888"/>
      <c r="AO424" s="886">
        <v>55922.13</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569519.33999999962</v>
      </c>
      <c r="F425" s="892"/>
      <c r="G425" s="891"/>
      <c r="H425" s="880">
        <v>40623.769999999997</v>
      </c>
      <c r="I425" s="892"/>
      <c r="J425" s="891"/>
      <c r="K425" s="880">
        <v>43825.0099999999</v>
      </c>
      <c r="L425" s="892"/>
      <c r="M425" s="891"/>
      <c r="N425" s="880">
        <v>52347.41</v>
      </c>
      <c r="O425" s="892"/>
      <c r="P425" s="891"/>
      <c r="Q425" s="880">
        <v>44942.65</v>
      </c>
      <c r="R425" s="892"/>
      <c r="S425" s="891"/>
      <c r="T425" s="880">
        <v>52421.8999999999</v>
      </c>
      <c r="U425" s="892"/>
      <c r="V425" s="891"/>
      <c r="W425" s="880">
        <v>40340.3999999999</v>
      </c>
      <c r="X425" s="892"/>
      <c r="Y425" s="891"/>
      <c r="Z425" s="880">
        <v>43942.53</v>
      </c>
      <c r="AA425" s="892"/>
      <c r="AB425" s="891"/>
      <c r="AC425" s="880">
        <v>49307.78</v>
      </c>
      <c r="AD425" s="892"/>
      <c r="AE425" s="891"/>
      <c r="AF425" s="880">
        <v>45500.27</v>
      </c>
      <c r="AG425" s="892"/>
      <c r="AH425" s="891"/>
      <c r="AI425" s="880">
        <v>46590.48</v>
      </c>
      <c r="AJ425" s="892"/>
      <c r="AK425" s="891"/>
      <c r="AL425" s="880">
        <v>64124.239999999903</v>
      </c>
      <c r="AM425" s="892"/>
      <c r="AN425" s="891"/>
      <c r="AO425" s="880">
        <v>45552.9</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339631.84</v>
      </c>
      <c r="F426" s="889"/>
      <c r="G426" s="888"/>
      <c r="H426" s="886">
        <v>26828.1</v>
      </c>
      <c r="I426" s="889"/>
      <c r="J426" s="888"/>
      <c r="K426" s="886">
        <v>27362.47</v>
      </c>
      <c r="L426" s="889"/>
      <c r="M426" s="888"/>
      <c r="N426" s="886">
        <v>22523.51</v>
      </c>
      <c r="O426" s="889"/>
      <c r="P426" s="888"/>
      <c r="Q426" s="886">
        <v>32259.46</v>
      </c>
      <c r="R426" s="889"/>
      <c r="S426" s="888"/>
      <c r="T426" s="886">
        <v>33599.85</v>
      </c>
      <c r="U426" s="889"/>
      <c r="V426" s="888"/>
      <c r="W426" s="886">
        <v>25752.15</v>
      </c>
      <c r="X426" s="889"/>
      <c r="Y426" s="888"/>
      <c r="Z426" s="886">
        <v>21717.47</v>
      </c>
      <c r="AA426" s="889"/>
      <c r="AB426" s="888"/>
      <c r="AC426" s="886">
        <v>28541</v>
      </c>
      <c r="AD426" s="889"/>
      <c r="AE426" s="888"/>
      <c r="AF426" s="886">
        <v>23355.3</v>
      </c>
      <c r="AG426" s="889"/>
      <c r="AH426" s="888"/>
      <c r="AI426" s="886">
        <v>25086.19</v>
      </c>
      <c r="AJ426" s="889"/>
      <c r="AK426" s="888"/>
      <c r="AL426" s="886">
        <v>51665.94</v>
      </c>
      <c r="AM426" s="889"/>
      <c r="AN426" s="888"/>
      <c r="AO426" s="886">
        <v>20940.400000000001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347460.79000000004</v>
      </c>
      <c r="F427" s="889"/>
      <c r="G427" s="888"/>
      <c r="H427" s="886">
        <v>23791.11</v>
      </c>
      <c r="I427" s="889"/>
      <c r="J427" s="888"/>
      <c r="K427" s="886">
        <v>19491.41</v>
      </c>
      <c r="L427" s="889"/>
      <c r="M427" s="888"/>
      <c r="N427" s="886">
        <v>20859.560000000001</v>
      </c>
      <c r="O427" s="889"/>
      <c r="P427" s="888"/>
      <c r="Q427" s="886">
        <v>43948.92</v>
      </c>
      <c r="R427" s="889"/>
      <c r="S427" s="888"/>
      <c r="T427" s="886">
        <v>37414.44</v>
      </c>
      <c r="U427" s="889"/>
      <c r="V427" s="888"/>
      <c r="W427" s="886">
        <v>26139.54</v>
      </c>
      <c r="X427" s="889"/>
      <c r="Y427" s="888"/>
      <c r="Z427" s="886">
        <v>25122.77</v>
      </c>
      <c r="AA427" s="889"/>
      <c r="AB427" s="888"/>
      <c r="AC427" s="886">
        <v>32163.66</v>
      </c>
      <c r="AD427" s="889"/>
      <c r="AE427" s="888"/>
      <c r="AF427" s="886">
        <v>29269.82</v>
      </c>
      <c r="AG427" s="889"/>
      <c r="AH427" s="888"/>
      <c r="AI427" s="886">
        <v>29317.81</v>
      </c>
      <c r="AJ427" s="889"/>
      <c r="AK427" s="888"/>
      <c r="AL427" s="886">
        <v>39319.25</v>
      </c>
      <c r="AM427" s="889"/>
      <c r="AN427" s="888"/>
      <c r="AO427" s="886">
        <v>20622.5</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v>0</v>
      </c>
      <c r="H430" s="886">
        <v>0</v>
      </c>
      <c r="I430" s="889"/>
      <c r="J430" s="888">
        <v>0</v>
      </c>
      <c r="K430" s="886">
        <v>0</v>
      </c>
      <c r="L430" s="889"/>
      <c r="M430" s="888">
        <v>0</v>
      </c>
      <c r="N430" s="886">
        <v>0</v>
      </c>
      <c r="O430" s="889"/>
      <c r="P430" s="888">
        <v>0</v>
      </c>
      <c r="Q430" s="886">
        <v>0</v>
      </c>
      <c r="R430" s="889"/>
      <c r="S430" s="888">
        <v>0</v>
      </c>
      <c r="T430" s="886">
        <v>0</v>
      </c>
      <c r="U430" s="889"/>
      <c r="V430" s="888">
        <v>0</v>
      </c>
      <c r="W430" s="886">
        <v>0</v>
      </c>
      <c r="X430" s="889"/>
      <c r="Y430" s="888">
        <v>0</v>
      </c>
      <c r="Z430" s="886">
        <v>0</v>
      </c>
      <c r="AA430" s="889"/>
      <c r="AB430" s="888">
        <v>0</v>
      </c>
      <c r="AC430" s="886">
        <v>0</v>
      </c>
      <c r="AD430" s="889"/>
      <c r="AE430" s="888">
        <v>0</v>
      </c>
      <c r="AF430" s="886">
        <v>0</v>
      </c>
      <c r="AG430" s="889"/>
      <c r="AH430" s="888">
        <v>0</v>
      </c>
      <c r="AI430" s="886">
        <v>0</v>
      </c>
      <c r="AJ430" s="889"/>
      <c r="AK430" s="888">
        <v>0</v>
      </c>
      <c r="AL430" s="886">
        <v>0</v>
      </c>
      <c r="AM430" s="889"/>
      <c r="AN430" s="888">
        <v>0</v>
      </c>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0.1123011330339406</v>
      </c>
      <c r="E431" s="880">
        <v>456964.49999999988</v>
      </c>
      <c r="F431" s="892"/>
      <c r="G431" s="898">
        <v>0.11738073062283352</v>
      </c>
      <c r="H431" s="880">
        <v>34767.42</v>
      </c>
      <c r="I431" s="892"/>
      <c r="J431" s="898">
        <v>9.4776449886306388E-2</v>
      </c>
      <c r="K431" s="880">
        <v>34268.229999999901</v>
      </c>
      <c r="L431" s="892"/>
      <c r="M431" s="898">
        <v>8.165278744580487E-2</v>
      </c>
      <c r="N431" s="880">
        <v>34930.980000000003</v>
      </c>
      <c r="O431" s="892"/>
      <c r="P431" s="898">
        <v>0.11497193892037333</v>
      </c>
      <c r="Q431" s="880">
        <v>42780.74</v>
      </c>
      <c r="R431" s="892"/>
      <c r="S431" s="898">
        <v>0.13599469842477427</v>
      </c>
      <c r="T431" s="880">
        <v>55516.55</v>
      </c>
      <c r="U431" s="892"/>
      <c r="V431" s="898">
        <v>0.10914413459575742</v>
      </c>
      <c r="W431" s="880">
        <v>35589.440000000002</v>
      </c>
      <c r="X431" s="892"/>
      <c r="Y431" s="898">
        <v>9.4593606563009941E-2</v>
      </c>
      <c r="Z431" s="880">
        <v>37441.89</v>
      </c>
      <c r="AA431" s="892"/>
      <c r="AB431" s="898">
        <v>9.3821042320053796E-2</v>
      </c>
      <c r="AC431" s="880">
        <v>37628.219999999899</v>
      </c>
      <c r="AD431" s="892"/>
      <c r="AE431" s="898">
        <v>0.10775363102481338</v>
      </c>
      <c r="AF431" s="880">
        <v>36946.69</v>
      </c>
      <c r="AG431" s="892"/>
      <c r="AH431" s="898">
        <v>0.11879584818962539</v>
      </c>
      <c r="AI431" s="880">
        <v>41409.339999999997</v>
      </c>
      <c r="AJ431" s="892"/>
      <c r="AK431" s="898">
        <v>8.9664652935794203E-2</v>
      </c>
      <c r="AL431" s="880">
        <v>30858.44</v>
      </c>
      <c r="AM431" s="892"/>
      <c r="AN431" s="898">
        <v>0.13114271608367287</v>
      </c>
      <c r="AO431" s="880">
        <v>34826.559999999998</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0.15182162263296148</v>
      </c>
      <c r="E432" s="886">
        <v>617777.30999999947</v>
      </c>
      <c r="F432" s="889"/>
      <c r="G432" s="899">
        <v>0.18118130105381414</v>
      </c>
      <c r="H432" s="886">
        <v>53664.74</v>
      </c>
      <c r="I432" s="889"/>
      <c r="J432" s="899">
        <v>0.14307593924524073</v>
      </c>
      <c r="K432" s="886">
        <v>51731.83</v>
      </c>
      <c r="L432" s="889"/>
      <c r="M432" s="899">
        <v>0.13317481184329119</v>
      </c>
      <c r="N432" s="886">
        <v>56972.05</v>
      </c>
      <c r="O432" s="889"/>
      <c r="P432" s="899">
        <v>0.14939173290809002</v>
      </c>
      <c r="Q432" s="886">
        <v>55588.25</v>
      </c>
      <c r="R432" s="889"/>
      <c r="S432" s="899">
        <v>0.14382090560460398</v>
      </c>
      <c r="T432" s="886">
        <v>58711.41</v>
      </c>
      <c r="U432" s="889"/>
      <c r="V432" s="899">
        <v>0.1435855237332577</v>
      </c>
      <c r="W432" s="886">
        <v>46819.999999999898</v>
      </c>
      <c r="X432" s="889"/>
      <c r="Y432" s="899">
        <v>0.1142982994221593</v>
      </c>
      <c r="Z432" s="886">
        <v>45241.369999999901</v>
      </c>
      <c r="AA432" s="889"/>
      <c r="AB432" s="899">
        <v>0.13438219898003251</v>
      </c>
      <c r="AC432" s="886">
        <v>53895.83</v>
      </c>
      <c r="AD432" s="889"/>
      <c r="AE432" s="899">
        <v>0.14071400131754103</v>
      </c>
      <c r="AF432" s="886">
        <v>48248.18</v>
      </c>
      <c r="AG432" s="889"/>
      <c r="AH432" s="899">
        <v>0.15713010934642135</v>
      </c>
      <c r="AI432" s="886">
        <v>54771.729999999901</v>
      </c>
      <c r="AJ432" s="889"/>
      <c r="AK432" s="899">
        <v>0.14969480223818454</v>
      </c>
      <c r="AL432" s="886">
        <v>51518.049999999901</v>
      </c>
      <c r="AM432" s="889"/>
      <c r="AN432" s="899">
        <v>0.15293538099855933</v>
      </c>
      <c r="AO432" s="886">
        <v>40613.869999999901</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5.9005773080552958E-2</v>
      </c>
      <c r="E433" s="886">
        <v>240100.36999999976</v>
      </c>
      <c r="F433" s="889"/>
      <c r="G433" s="899">
        <v>6.7862947337921795E-2</v>
      </c>
      <c r="H433" s="886">
        <v>20100.57</v>
      </c>
      <c r="I433" s="889"/>
      <c r="J433" s="899">
        <v>5.757060947474929E-2</v>
      </c>
      <c r="K433" s="886">
        <v>20815.75</v>
      </c>
      <c r="L433" s="889"/>
      <c r="M433" s="899">
        <v>5.1632029332280331E-2</v>
      </c>
      <c r="N433" s="886">
        <v>22088.129999999899</v>
      </c>
      <c r="O433" s="889"/>
      <c r="P433" s="899">
        <v>5.6091925220728076E-2</v>
      </c>
      <c r="Q433" s="886">
        <v>20871.650000000001</v>
      </c>
      <c r="R433" s="889"/>
      <c r="S433" s="899">
        <v>6.2939058438829035E-2</v>
      </c>
      <c r="T433" s="886">
        <v>25693.35</v>
      </c>
      <c r="U433" s="889"/>
      <c r="V433" s="899">
        <v>5.9506723310879792E-2</v>
      </c>
      <c r="W433" s="886">
        <v>19403.8</v>
      </c>
      <c r="X433" s="889"/>
      <c r="Y433" s="899">
        <v>5.2480935701827026E-2</v>
      </c>
      <c r="Z433" s="886">
        <v>20772.919999999998</v>
      </c>
      <c r="AA433" s="889"/>
      <c r="AB433" s="899">
        <v>6.3966961263216604E-2</v>
      </c>
      <c r="AC433" s="886">
        <v>25654.83</v>
      </c>
      <c r="AD433" s="889"/>
      <c r="AE433" s="899">
        <v>6.6497091878713888E-2</v>
      </c>
      <c r="AF433" s="886">
        <v>22800.6</v>
      </c>
      <c r="AG433" s="889"/>
      <c r="AH433" s="899">
        <v>7.0514248485228373E-2</v>
      </c>
      <c r="AI433" s="886">
        <v>24579.55</v>
      </c>
      <c r="AJ433" s="889"/>
      <c r="AK433" s="899">
        <v>4.7205915725493774E-3</v>
      </c>
      <c r="AL433" s="886">
        <v>1624.61</v>
      </c>
      <c r="AM433" s="889"/>
      <c r="AN433" s="899">
        <v>5.9099543086482277E-2</v>
      </c>
      <c r="AO433" s="886">
        <v>15694.609999999901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2.6335349212534883E-2</v>
      </c>
      <c r="E434" s="886">
        <v>107161.15999999999</v>
      </c>
      <c r="F434" s="889"/>
      <c r="G434" s="899"/>
      <c r="H434" s="886">
        <v>8050.6699999999992</v>
      </c>
      <c r="I434" s="889"/>
      <c r="J434" s="899"/>
      <c r="K434" s="886">
        <v>8165.579999999999</v>
      </c>
      <c r="L434" s="889"/>
      <c r="M434" s="899"/>
      <c r="N434" s="886">
        <v>9927.369999999999</v>
      </c>
      <c r="O434" s="889"/>
      <c r="P434" s="899"/>
      <c r="Q434" s="886">
        <v>10619.84</v>
      </c>
      <c r="R434" s="889"/>
      <c r="S434" s="899"/>
      <c r="T434" s="886">
        <v>10441.59</v>
      </c>
      <c r="U434" s="889"/>
      <c r="V434" s="899"/>
      <c r="W434" s="886">
        <v>7407.93</v>
      </c>
      <c r="X434" s="889"/>
      <c r="Y434" s="899"/>
      <c r="Z434" s="886">
        <v>7524.12</v>
      </c>
      <c r="AA434" s="889"/>
      <c r="AB434" s="899"/>
      <c r="AC434" s="886">
        <v>11755.279999999999</v>
      </c>
      <c r="AD434" s="889"/>
      <c r="AE434" s="899"/>
      <c r="AF434" s="886">
        <v>7864.39</v>
      </c>
      <c r="AG434" s="889"/>
      <c r="AH434" s="899"/>
      <c r="AI434" s="886">
        <v>5884.51</v>
      </c>
      <c r="AJ434" s="889"/>
      <c r="AK434" s="899"/>
      <c r="AL434" s="886">
        <v>8487.58</v>
      </c>
      <c r="AM434" s="889"/>
      <c r="AN434" s="899"/>
      <c r="AO434" s="886">
        <v>11032.3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c r="B435" s="44"/>
      <c r="C435" s="889"/>
      <c r="D435" s="888"/>
      <c r="E435" s="886"/>
      <c r="F435" s="889"/>
      <c r="G435" s="888"/>
      <c r="H435" s="886"/>
      <c r="I435" s="889"/>
      <c r="J435" s="888"/>
      <c r="K435" s="886"/>
      <c r="L435" s="889"/>
      <c r="M435" s="888"/>
      <c r="N435" s="886"/>
      <c r="O435" s="889"/>
      <c r="P435" s="888"/>
      <c r="Q435" s="886"/>
      <c r="R435" s="889"/>
      <c r="S435" s="888"/>
      <c r="T435" s="886"/>
      <c r="U435" s="889"/>
      <c r="V435" s="888"/>
      <c r="W435" s="886"/>
      <c r="X435" s="889"/>
      <c r="Y435" s="888"/>
      <c r="Z435" s="886"/>
      <c r="AA435" s="889"/>
      <c r="AB435" s="888"/>
      <c r="AC435" s="886"/>
      <c r="AD435" s="889"/>
      <c r="AE435" s="888"/>
      <c r="AF435" s="886"/>
      <c r="AG435" s="889"/>
      <c r="AH435" s="888"/>
      <c r="AI435" s="886"/>
      <c r="AJ435" s="889"/>
      <c r="AK435" s="888"/>
      <c r="AL435" s="886"/>
      <c r="AM435" s="889"/>
      <c r="AN435" s="888"/>
      <c r="AO435" s="886"/>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0.48095769605213395</v>
      </c>
      <c r="D436" s="900"/>
      <c r="E436" s="895">
        <v>3477136.2899999986</v>
      </c>
      <c r="F436" s="893"/>
      <c r="G436" s="900"/>
      <c r="H436" s="895">
        <v>270084.64999999898</v>
      </c>
      <c r="I436" s="893"/>
      <c r="J436" s="900"/>
      <c r="K436" s="895">
        <v>280906.26</v>
      </c>
      <c r="L436" s="893"/>
      <c r="M436" s="900"/>
      <c r="N436" s="895">
        <v>295685.73</v>
      </c>
      <c r="O436" s="893"/>
      <c r="P436" s="900"/>
      <c r="Q436" s="895">
        <v>305718.82</v>
      </c>
      <c r="R436" s="893"/>
      <c r="S436" s="900"/>
      <c r="T436" s="895">
        <v>336344.1</v>
      </c>
      <c r="U436" s="893"/>
      <c r="V436" s="900"/>
      <c r="W436" s="895">
        <v>269945.61</v>
      </c>
      <c r="X436" s="893"/>
      <c r="Y436" s="900"/>
      <c r="Z436" s="895">
        <v>266559.06</v>
      </c>
      <c r="AA436" s="893"/>
      <c r="AB436" s="900"/>
      <c r="AC436" s="895">
        <v>304617.8</v>
      </c>
      <c r="AD436" s="893"/>
      <c r="AE436" s="900"/>
      <c r="AF436" s="895">
        <v>278269.93</v>
      </c>
      <c r="AG436" s="893"/>
      <c r="AH436" s="900"/>
      <c r="AI436" s="895">
        <v>283857.56</v>
      </c>
      <c r="AJ436" s="893"/>
      <c r="AK436" s="900"/>
      <c r="AL436" s="895">
        <v>328495.51999999897</v>
      </c>
      <c r="AM436" s="893"/>
      <c r="AN436" s="900"/>
      <c r="AO436" s="895">
        <v>256651.24999999901</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184727.43999999992</v>
      </c>
      <c r="F437" s="901"/>
      <c r="G437" s="902"/>
      <c r="H437" s="903">
        <v>16759.11</v>
      </c>
      <c r="I437" s="901"/>
      <c r="J437" s="902"/>
      <c r="K437" s="903">
        <v>17676.28</v>
      </c>
      <c r="L437" s="901"/>
      <c r="M437" s="902"/>
      <c r="N437" s="903">
        <v>17021.64</v>
      </c>
      <c r="O437" s="901"/>
      <c r="P437" s="902"/>
      <c r="Q437" s="903">
        <v>15551.54</v>
      </c>
      <c r="R437" s="901"/>
      <c r="S437" s="902"/>
      <c r="T437" s="903">
        <v>16013.77</v>
      </c>
      <c r="U437" s="901"/>
      <c r="V437" s="902"/>
      <c r="W437" s="903">
        <v>14517.59</v>
      </c>
      <c r="X437" s="901"/>
      <c r="Y437" s="902"/>
      <c r="Z437" s="903">
        <v>13920.66</v>
      </c>
      <c r="AA437" s="901"/>
      <c r="AB437" s="902"/>
      <c r="AC437" s="903">
        <v>13400.82</v>
      </c>
      <c r="AD437" s="901"/>
      <c r="AE437" s="902"/>
      <c r="AF437" s="903">
        <v>12561.539999999901</v>
      </c>
      <c r="AG437" s="901"/>
      <c r="AH437" s="902"/>
      <c r="AI437" s="903">
        <v>15405.01</v>
      </c>
      <c r="AJ437" s="901"/>
      <c r="AK437" s="902"/>
      <c r="AL437" s="903">
        <v>16041.85</v>
      </c>
      <c r="AM437" s="901"/>
      <c r="AN437" s="902"/>
      <c r="AO437" s="903">
        <v>15857.63</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74078.119999999981</v>
      </c>
      <c r="F438" s="889"/>
      <c r="G438" s="888"/>
      <c r="H438" s="886">
        <v>-2619.91</v>
      </c>
      <c r="I438" s="889"/>
      <c r="J438" s="888"/>
      <c r="K438" s="886">
        <v>3288.27</v>
      </c>
      <c r="L438" s="889"/>
      <c r="M438" s="888"/>
      <c r="N438" s="886">
        <v>895.45</v>
      </c>
      <c r="O438" s="889"/>
      <c r="P438" s="888"/>
      <c r="Q438" s="886">
        <v>3957.41</v>
      </c>
      <c r="R438" s="889"/>
      <c r="S438" s="888"/>
      <c r="T438" s="886">
        <v>6870.41</v>
      </c>
      <c r="U438" s="889"/>
      <c r="V438" s="888"/>
      <c r="W438" s="886">
        <v>6353.59</v>
      </c>
      <c r="X438" s="889"/>
      <c r="Y438" s="888"/>
      <c r="Z438" s="886">
        <v>6479.70999999999</v>
      </c>
      <c r="AA438" s="889"/>
      <c r="AB438" s="888"/>
      <c r="AC438" s="886">
        <v>4493.88</v>
      </c>
      <c r="AD438" s="889"/>
      <c r="AE438" s="888"/>
      <c r="AF438" s="886">
        <v>6673.85</v>
      </c>
      <c r="AG438" s="889"/>
      <c r="AH438" s="888"/>
      <c r="AI438" s="886">
        <v>12189.38</v>
      </c>
      <c r="AJ438" s="889"/>
      <c r="AK438" s="888"/>
      <c r="AL438" s="886">
        <v>9244.6799999999894</v>
      </c>
      <c r="AM438" s="889"/>
      <c r="AN438" s="888"/>
      <c r="AO438" s="886">
        <v>16251.4</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278853.1299999996</v>
      </c>
      <c r="F439" s="892"/>
      <c r="G439" s="891"/>
      <c r="H439" s="880">
        <v>19209.72</v>
      </c>
      <c r="I439" s="892"/>
      <c r="J439" s="891"/>
      <c r="K439" s="880">
        <v>17688.3999999999</v>
      </c>
      <c r="L439" s="892"/>
      <c r="M439" s="891"/>
      <c r="N439" s="880">
        <v>19342.02</v>
      </c>
      <c r="O439" s="892"/>
      <c r="P439" s="891"/>
      <c r="Q439" s="880">
        <v>26786.48</v>
      </c>
      <c r="R439" s="892"/>
      <c r="S439" s="891"/>
      <c r="T439" s="880">
        <v>22664.019999999899</v>
      </c>
      <c r="U439" s="892"/>
      <c r="V439" s="891"/>
      <c r="W439" s="880">
        <v>22511.9</v>
      </c>
      <c r="X439" s="892"/>
      <c r="Y439" s="891"/>
      <c r="Z439" s="880">
        <v>26599.97</v>
      </c>
      <c r="AA439" s="892"/>
      <c r="AB439" s="891"/>
      <c r="AC439" s="880">
        <v>26004.389999999901</v>
      </c>
      <c r="AD439" s="892"/>
      <c r="AE439" s="891"/>
      <c r="AF439" s="880">
        <v>17512.330000000002</v>
      </c>
      <c r="AG439" s="892"/>
      <c r="AH439" s="891"/>
      <c r="AI439" s="880">
        <v>20642.87</v>
      </c>
      <c r="AJ439" s="892"/>
      <c r="AK439" s="891"/>
      <c r="AL439" s="880">
        <v>31171.79</v>
      </c>
      <c r="AM439" s="892"/>
      <c r="AN439" s="891"/>
      <c r="AO439" s="880">
        <v>28719.2399999999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268902.5499999997</v>
      </c>
      <c r="F440" s="889"/>
      <c r="G440" s="888"/>
      <c r="H440" s="886">
        <v>20331.73</v>
      </c>
      <c r="I440" s="889"/>
      <c r="J440" s="888"/>
      <c r="K440" s="886">
        <v>21884.6499999999</v>
      </c>
      <c r="L440" s="889"/>
      <c r="M440" s="888"/>
      <c r="N440" s="886">
        <v>21562.63</v>
      </c>
      <c r="O440" s="889"/>
      <c r="P440" s="888"/>
      <c r="Q440" s="886">
        <v>22793.11</v>
      </c>
      <c r="R440" s="889"/>
      <c r="S440" s="888"/>
      <c r="T440" s="886">
        <v>22579.48</v>
      </c>
      <c r="U440" s="889"/>
      <c r="V440" s="888"/>
      <c r="W440" s="886">
        <v>21215.53</v>
      </c>
      <c r="X440" s="889"/>
      <c r="Y440" s="888"/>
      <c r="Z440" s="886">
        <v>17673.09</v>
      </c>
      <c r="AA440" s="889"/>
      <c r="AB440" s="888"/>
      <c r="AC440" s="886">
        <v>26430.91</v>
      </c>
      <c r="AD440" s="889"/>
      <c r="AE440" s="888"/>
      <c r="AF440" s="886">
        <v>26753.58</v>
      </c>
      <c r="AG440" s="889"/>
      <c r="AH440" s="888"/>
      <c r="AI440" s="886">
        <v>22270.73</v>
      </c>
      <c r="AJ440" s="889"/>
      <c r="AK440" s="888"/>
      <c r="AL440" s="886">
        <v>20276.379999999899</v>
      </c>
      <c r="AM440" s="889"/>
      <c r="AN440" s="888"/>
      <c r="AO440" s="886">
        <v>25130.729999999901</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54107.670000000006</v>
      </c>
      <c r="F441" s="889"/>
      <c r="G441" s="888"/>
      <c r="H441" s="886">
        <v>3173.5</v>
      </c>
      <c r="I441" s="889"/>
      <c r="J441" s="888"/>
      <c r="K441" s="886">
        <v>1268.96</v>
      </c>
      <c r="L441" s="889"/>
      <c r="M441" s="888"/>
      <c r="N441" s="886">
        <v>3103.79</v>
      </c>
      <c r="O441" s="889"/>
      <c r="P441" s="888"/>
      <c r="Q441" s="886">
        <v>7708.47</v>
      </c>
      <c r="R441" s="889"/>
      <c r="S441" s="888"/>
      <c r="T441" s="886">
        <v>2910.03</v>
      </c>
      <c r="U441" s="889"/>
      <c r="V441" s="888"/>
      <c r="W441" s="886">
        <v>4364.88</v>
      </c>
      <c r="X441" s="889"/>
      <c r="Y441" s="888"/>
      <c r="Z441" s="886">
        <v>5104.3599999999997</v>
      </c>
      <c r="AA441" s="889"/>
      <c r="AB441" s="888"/>
      <c r="AC441" s="886">
        <v>3954.67</v>
      </c>
      <c r="AD441" s="889"/>
      <c r="AE441" s="888"/>
      <c r="AF441" s="886">
        <v>6229.24</v>
      </c>
      <c r="AG441" s="889"/>
      <c r="AH441" s="888"/>
      <c r="AI441" s="886">
        <v>5287.25</v>
      </c>
      <c r="AJ441" s="889"/>
      <c r="AK441" s="888"/>
      <c r="AL441" s="886">
        <v>7234.8</v>
      </c>
      <c r="AM441" s="889"/>
      <c r="AN441" s="888"/>
      <c r="AO441" s="886">
        <v>3767.72</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409895.26999999979</v>
      </c>
      <c r="F442" s="904"/>
      <c r="G442" s="905"/>
      <c r="H442" s="906">
        <v>39217.94</v>
      </c>
      <c r="I442" s="904"/>
      <c r="J442" s="905"/>
      <c r="K442" s="906">
        <v>32381.999999999902</v>
      </c>
      <c r="L442" s="904"/>
      <c r="M442" s="905"/>
      <c r="N442" s="906">
        <v>26042.879999999899</v>
      </c>
      <c r="O442" s="904"/>
      <c r="P442" s="905"/>
      <c r="Q442" s="906">
        <v>31322.5</v>
      </c>
      <c r="R442" s="904"/>
      <c r="S442" s="905"/>
      <c r="T442" s="906">
        <v>32122.880000000001</v>
      </c>
      <c r="U442" s="904"/>
      <c r="V442" s="905"/>
      <c r="W442" s="906">
        <v>29035.8</v>
      </c>
      <c r="X442" s="904"/>
      <c r="Y442" s="905"/>
      <c r="Z442" s="906">
        <v>31737.46</v>
      </c>
      <c r="AA442" s="904"/>
      <c r="AB442" s="905"/>
      <c r="AC442" s="906">
        <v>35276</v>
      </c>
      <c r="AD442" s="904"/>
      <c r="AE442" s="905"/>
      <c r="AF442" s="906">
        <v>37356.06</v>
      </c>
      <c r="AG442" s="904"/>
      <c r="AH442" s="905"/>
      <c r="AI442" s="906">
        <v>41642.44</v>
      </c>
      <c r="AJ442" s="904"/>
      <c r="AK442" s="905"/>
      <c r="AL442" s="906">
        <v>36937.01</v>
      </c>
      <c r="AM442" s="904"/>
      <c r="AN442" s="905"/>
      <c r="AO442" s="906">
        <v>36822.300000000003</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61597.399999999958</v>
      </c>
      <c r="F444" s="889"/>
      <c r="G444" s="888"/>
      <c r="H444" s="886">
        <v>7192.02</v>
      </c>
      <c r="I444" s="889"/>
      <c r="J444" s="888"/>
      <c r="K444" s="886">
        <v>6925.84</v>
      </c>
      <c r="L444" s="889"/>
      <c r="M444" s="888"/>
      <c r="N444" s="886">
        <v>4035.3699999999899</v>
      </c>
      <c r="O444" s="889"/>
      <c r="P444" s="888"/>
      <c r="Q444" s="886">
        <v>4652.8900000000003</v>
      </c>
      <c r="R444" s="889"/>
      <c r="S444" s="888"/>
      <c r="T444" s="886">
        <v>1656.44</v>
      </c>
      <c r="U444" s="889"/>
      <c r="V444" s="888"/>
      <c r="W444" s="886">
        <v>2791.05</v>
      </c>
      <c r="X444" s="889"/>
      <c r="Y444" s="888"/>
      <c r="Z444" s="886">
        <v>3621.82</v>
      </c>
      <c r="AA444" s="889"/>
      <c r="AB444" s="888"/>
      <c r="AC444" s="886">
        <v>5399.2</v>
      </c>
      <c r="AD444" s="889"/>
      <c r="AE444" s="888"/>
      <c r="AF444" s="886">
        <v>4068.2599999999902</v>
      </c>
      <c r="AG444" s="889"/>
      <c r="AH444" s="888"/>
      <c r="AI444" s="886">
        <v>6914.34</v>
      </c>
      <c r="AJ444" s="889"/>
      <c r="AK444" s="888"/>
      <c r="AL444" s="886">
        <v>4505.9299999999903</v>
      </c>
      <c r="AM444" s="889"/>
      <c r="AN444" s="888"/>
      <c r="AO444" s="886">
        <v>9834.24</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15645.359999999991</v>
      </c>
      <c r="F445" s="889"/>
      <c r="G445" s="888"/>
      <c r="H445" s="886">
        <v>1327.56</v>
      </c>
      <c r="I445" s="889"/>
      <c r="J445" s="888"/>
      <c r="K445" s="886">
        <v>786.75</v>
      </c>
      <c r="L445" s="889"/>
      <c r="M445" s="888"/>
      <c r="N445" s="886">
        <v>858.19</v>
      </c>
      <c r="O445" s="889"/>
      <c r="P445" s="888"/>
      <c r="Q445" s="886">
        <v>893.35</v>
      </c>
      <c r="R445" s="889"/>
      <c r="S445" s="888"/>
      <c r="T445" s="886">
        <v>1556.43</v>
      </c>
      <c r="U445" s="889"/>
      <c r="V445" s="888"/>
      <c r="W445" s="886">
        <v>1811.25</v>
      </c>
      <c r="X445" s="889"/>
      <c r="Y445" s="888"/>
      <c r="Z445" s="886">
        <v>1654</v>
      </c>
      <c r="AA445" s="889"/>
      <c r="AB445" s="888"/>
      <c r="AC445" s="886">
        <v>583.12</v>
      </c>
      <c r="AD445" s="889"/>
      <c r="AE445" s="888"/>
      <c r="AF445" s="886">
        <v>798.78</v>
      </c>
      <c r="AG445" s="889"/>
      <c r="AH445" s="888"/>
      <c r="AI445" s="886">
        <v>3130.8199999999902</v>
      </c>
      <c r="AJ445" s="889"/>
      <c r="AK445" s="888"/>
      <c r="AL445" s="886">
        <v>1200.28</v>
      </c>
      <c r="AM445" s="889"/>
      <c r="AN445" s="888"/>
      <c r="AO445" s="886">
        <v>1044.83</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35578.489999999969</v>
      </c>
      <c r="F446" s="889"/>
      <c r="G446" s="888"/>
      <c r="H446" s="886">
        <v>1328.81</v>
      </c>
      <c r="I446" s="889"/>
      <c r="J446" s="888"/>
      <c r="K446" s="886">
        <v>4208.28</v>
      </c>
      <c r="L446" s="889"/>
      <c r="M446" s="888"/>
      <c r="N446" s="886">
        <v>1313.78</v>
      </c>
      <c r="O446" s="889"/>
      <c r="P446" s="888"/>
      <c r="Q446" s="886">
        <v>1384.85</v>
      </c>
      <c r="R446" s="889"/>
      <c r="S446" s="888"/>
      <c r="T446" s="886">
        <v>3223.6699999999901</v>
      </c>
      <c r="U446" s="889"/>
      <c r="V446" s="888"/>
      <c r="W446" s="886">
        <v>1450.33</v>
      </c>
      <c r="X446" s="889"/>
      <c r="Y446" s="888"/>
      <c r="Z446" s="886">
        <v>1541.95999999999</v>
      </c>
      <c r="AA446" s="889"/>
      <c r="AB446" s="888"/>
      <c r="AC446" s="886">
        <v>7677.95</v>
      </c>
      <c r="AD446" s="889"/>
      <c r="AE446" s="888"/>
      <c r="AF446" s="886">
        <v>2156.9699999999998</v>
      </c>
      <c r="AG446" s="889"/>
      <c r="AH446" s="888"/>
      <c r="AI446" s="886">
        <v>1565.73999999999</v>
      </c>
      <c r="AJ446" s="889"/>
      <c r="AK446" s="888"/>
      <c r="AL446" s="886">
        <v>4314.07</v>
      </c>
      <c r="AM446" s="889"/>
      <c r="AN446" s="888"/>
      <c r="AO446" s="886">
        <v>5412.08</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8789.1999999999953</v>
      </c>
      <c r="F447" s="889"/>
      <c r="G447" s="888"/>
      <c r="H447" s="886">
        <v>772.76999999999896</v>
      </c>
      <c r="I447" s="889"/>
      <c r="J447" s="888"/>
      <c r="K447" s="886">
        <v>547.28</v>
      </c>
      <c r="L447" s="889"/>
      <c r="M447" s="888"/>
      <c r="N447" s="886">
        <v>640.21</v>
      </c>
      <c r="O447" s="889"/>
      <c r="P447" s="888"/>
      <c r="Q447" s="886">
        <v>797.78</v>
      </c>
      <c r="R447" s="889"/>
      <c r="S447" s="888"/>
      <c r="T447" s="886">
        <v>621.94000000000005</v>
      </c>
      <c r="U447" s="889"/>
      <c r="V447" s="888"/>
      <c r="W447" s="886">
        <v>610.55999999999995</v>
      </c>
      <c r="X447" s="889"/>
      <c r="Y447" s="888"/>
      <c r="Z447" s="886">
        <v>623.20000000000005</v>
      </c>
      <c r="AA447" s="889"/>
      <c r="AB447" s="888"/>
      <c r="AC447" s="886">
        <v>917.099999999999</v>
      </c>
      <c r="AD447" s="889"/>
      <c r="AE447" s="888"/>
      <c r="AF447" s="886">
        <v>686.729999999999</v>
      </c>
      <c r="AG447" s="889"/>
      <c r="AH447" s="888"/>
      <c r="AI447" s="886">
        <v>1132.3599999999999</v>
      </c>
      <c r="AJ447" s="889"/>
      <c r="AK447" s="888"/>
      <c r="AL447" s="886">
        <v>750.08999999999901</v>
      </c>
      <c r="AM447" s="889"/>
      <c r="AN447" s="888"/>
      <c r="AO447" s="886">
        <v>689.18</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557.96999999999889</v>
      </c>
      <c r="F448" s="889"/>
      <c r="G448" s="888"/>
      <c r="H448" s="886">
        <v>59.52</v>
      </c>
      <c r="I448" s="889"/>
      <c r="J448" s="888"/>
      <c r="K448" s="886">
        <v>730.92</v>
      </c>
      <c r="L448" s="889"/>
      <c r="M448" s="888"/>
      <c r="N448" s="886">
        <v>535.47</v>
      </c>
      <c r="O448" s="889"/>
      <c r="P448" s="888"/>
      <c r="Q448" s="886">
        <v>-27.62</v>
      </c>
      <c r="R448" s="889"/>
      <c r="S448" s="888"/>
      <c r="T448" s="886">
        <v>-212.039999999999</v>
      </c>
      <c r="U448" s="889"/>
      <c r="V448" s="888"/>
      <c r="W448" s="886">
        <v>102.99999999999901</v>
      </c>
      <c r="X448" s="889"/>
      <c r="Y448" s="888"/>
      <c r="Z448" s="886">
        <v>102.99999999999901</v>
      </c>
      <c r="AA448" s="889"/>
      <c r="AB448" s="888"/>
      <c r="AC448" s="886">
        <v>-374.16</v>
      </c>
      <c r="AD448" s="889"/>
      <c r="AE448" s="888"/>
      <c r="AF448" s="886">
        <v>-92.09</v>
      </c>
      <c r="AG448" s="889"/>
      <c r="AH448" s="888"/>
      <c r="AI448" s="886">
        <v>73.19</v>
      </c>
      <c r="AJ448" s="889"/>
      <c r="AK448" s="888"/>
      <c r="AL448" s="886">
        <v>-54.58</v>
      </c>
      <c r="AM448" s="889"/>
      <c r="AN448" s="888"/>
      <c r="AO448" s="886">
        <v>-286.64</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6768.0999999999995</v>
      </c>
      <c r="F449" s="889"/>
      <c r="G449" s="888"/>
      <c r="H449" s="886">
        <v>322.69</v>
      </c>
      <c r="I449" s="889"/>
      <c r="J449" s="888"/>
      <c r="K449" s="886">
        <v>642.70000000000005</v>
      </c>
      <c r="L449" s="889"/>
      <c r="M449" s="888"/>
      <c r="N449" s="886">
        <v>799.93</v>
      </c>
      <c r="O449" s="889"/>
      <c r="P449" s="888"/>
      <c r="Q449" s="886">
        <v>631.05999999999995</v>
      </c>
      <c r="R449" s="889"/>
      <c r="S449" s="888"/>
      <c r="T449" s="886">
        <v>329.1</v>
      </c>
      <c r="U449" s="889"/>
      <c r="V449" s="888"/>
      <c r="W449" s="886">
        <v>386.75</v>
      </c>
      <c r="X449" s="889"/>
      <c r="Y449" s="888"/>
      <c r="Z449" s="886">
        <v>589.04</v>
      </c>
      <c r="AA449" s="889"/>
      <c r="AB449" s="888"/>
      <c r="AC449" s="886">
        <v>163.98</v>
      </c>
      <c r="AD449" s="889"/>
      <c r="AE449" s="888"/>
      <c r="AF449" s="886">
        <v>475.02</v>
      </c>
      <c r="AG449" s="889"/>
      <c r="AH449" s="888"/>
      <c r="AI449" s="886">
        <v>732.69999999999902</v>
      </c>
      <c r="AJ449" s="889"/>
      <c r="AK449" s="888"/>
      <c r="AL449" s="886">
        <v>1396.28</v>
      </c>
      <c r="AM449" s="889"/>
      <c r="AN449" s="888"/>
      <c r="AO449" s="886">
        <v>298.85000000000002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51205.879999999976</v>
      </c>
      <c r="F450" s="889"/>
      <c r="G450" s="888"/>
      <c r="H450" s="886">
        <v>5266.9</v>
      </c>
      <c r="I450" s="889"/>
      <c r="J450" s="888"/>
      <c r="K450" s="886">
        <v>5281.3899999999903</v>
      </c>
      <c r="L450" s="889"/>
      <c r="M450" s="888"/>
      <c r="N450" s="886">
        <v>5210.92</v>
      </c>
      <c r="O450" s="889"/>
      <c r="P450" s="888"/>
      <c r="Q450" s="886">
        <v>2402.5699999999902</v>
      </c>
      <c r="R450" s="889"/>
      <c r="S450" s="888"/>
      <c r="T450" s="886">
        <v>2278.56</v>
      </c>
      <c r="U450" s="889"/>
      <c r="V450" s="888"/>
      <c r="W450" s="886">
        <v>4618.51</v>
      </c>
      <c r="X450" s="889"/>
      <c r="Y450" s="888"/>
      <c r="Z450" s="886">
        <v>6583.58</v>
      </c>
      <c r="AA450" s="889"/>
      <c r="AB450" s="888"/>
      <c r="AC450" s="886">
        <v>5711.08</v>
      </c>
      <c r="AD450" s="889"/>
      <c r="AE450" s="888"/>
      <c r="AF450" s="886">
        <v>4612.0599999999904</v>
      </c>
      <c r="AG450" s="889"/>
      <c r="AH450" s="888"/>
      <c r="AI450" s="886">
        <v>5551.54</v>
      </c>
      <c r="AJ450" s="889"/>
      <c r="AK450" s="888"/>
      <c r="AL450" s="886">
        <v>3108.06</v>
      </c>
      <c r="AM450" s="889"/>
      <c r="AN450" s="888"/>
      <c r="AO450" s="886">
        <v>580.71</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105490.88999999977</v>
      </c>
      <c r="F451" s="889"/>
      <c r="G451" s="888"/>
      <c r="H451" s="886">
        <v>6862.04</v>
      </c>
      <c r="I451" s="889"/>
      <c r="J451" s="888"/>
      <c r="K451" s="886">
        <v>5432.78</v>
      </c>
      <c r="L451" s="889"/>
      <c r="M451" s="888"/>
      <c r="N451" s="886">
        <v>7157.2599999999902</v>
      </c>
      <c r="O451" s="889"/>
      <c r="P451" s="888"/>
      <c r="Q451" s="886">
        <v>9504.61</v>
      </c>
      <c r="R451" s="889"/>
      <c r="S451" s="888"/>
      <c r="T451" s="886">
        <v>10571.46</v>
      </c>
      <c r="U451" s="889"/>
      <c r="V451" s="888"/>
      <c r="W451" s="886">
        <v>7461.8099999999904</v>
      </c>
      <c r="X451" s="889"/>
      <c r="Y451" s="888"/>
      <c r="Z451" s="886">
        <v>8293.56</v>
      </c>
      <c r="AA451" s="889"/>
      <c r="AB451" s="888"/>
      <c r="AC451" s="886">
        <v>7961.99</v>
      </c>
      <c r="AD451" s="889"/>
      <c r="AE451" s="888"/>
      <c r="AF451" s="886">
        <v>7260.23</v>
      </c>
      <c r="AG451" s="889"/>
      <c r="AH451" s="888"/>
      <c r="AI451" s="886">
        <v>10659.9399999999</v>
      </c>
      <c r="AJ451" s="889"/>
      <c r="AK451" s="888"/>
      <c r="AL451" s="886">
        <v>15108.859999999901</v>
      </c>
      <c r="AM451" s="889"/>
      <c r="AN451" s="888"/>
      <c r="AO451" s="886">
        <v>9216.3499999999894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f t="shared" si="7"/>
        <v>0</v>
      </c>
      <c r="B454" s="54"/>
      <c r="C454" s="889"/>
      <c r="D454" s="888"/>
      <c r="E454" s="886"/>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0.21525332553857401</v>
      </c>
      <c r="D455" s="896"/>
      <c r="E455" s="895">
        <v>1556197.4699999986</v>
      </c>
      <c r="F455" s="893"/>
      <c r="G455" s="896"/>
      <c r="H455" s="895">
        <v>119204.4</v>
      </c>
      <c r="I455" s="893"/>
      <c r="J455" s="896"/>
      <c r="K455" s="895">
        <v>118744.499999999</v>
      </c>
      <c r="L455" s="893"/>
      <c r="M455" s="896"/>
      <c r="N455" s="895">
        <v>108519.54</v>
      </c>
      <c r="O455" s="893"/>
      <c r="P455" s="896"/>
      <c r="Q455" s="895">
        <v>128359</v>
      </c>
      <c r="R455" s="893"/>
      <c r="S455" s="896"/>
      <c r="T455" s="895">
        <v>123186.15</v>
      </c>
      <c r="U455" s="893"/>
      <c r="V455" s="896"/>
      <c r="W455" s="895">
        <v>117232.55</v>
      </c>
      <c r="X455" s="893"/>
      <c r="Y455" s="896"/>
      <c r="Z455" s="895">
        <v>124525.41</v>
      </c>
      <c r="AA455" s="893"/>
      <c r="AB455" s="896"/>
      <c r="AC455" s="895">
        <v>137600.93</v>
      </c>
      <c r="AD455" s="893"/>
      <c r="AE455" s="896"/>
      <c r="AF455" s="895">
        <v>127052.56</v>
      </c>
      <c r="AG455" s="893"/>
      <c r="AH455" s="896"/>
      <c r="AI455" s="895">
        <v>147198.31</v>
      </c>
      <c r="AJ455" s="893"/>
      <c r="AK455" s="896"/>
      <c r="AL455" s="895">
        <v>151235.5</v>
      </c>
      <c r="AM455" s="893"/>
      <c r="AN455" s="896"/>
      <c r="AO455" s="895">
        <v>153338.61999999901</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62124</v>
      </c>
      <c r="F457" s="889"/>
      <c r="G457" s="888"/>
      <c r="H457" s="897">
        <v>5177</v>
      </c>
      <c r="I457" s="889"/>
      <c r="J457" s="888"/>
      <c r="K457" s="897">
        <v>5177</v>
      </c>
      <c r="L457" s="889"/>
      <c r="M457" s="888"/>
      <c r="N457" s="897">
        <v>5177</v>
      </c>
      <c r="O457" s="889"/>
      <c r="P457" s="888"/>
      <c r="Q457" s="897">
        <v>5177</v>
      </c>
      <c r="R457" s="889"/>
      <c r="S457" s="888"/>
      <c r="T457" s="897">
        <v>5177</v>
      </c>
      <c r="U457" s="889"/>
      <c r="V457" s="888"/>
      <c r="W457" s="897">
        <v>5177</v>
      </c>
      <c r="X457" s="889"/>
      <c r="Y457" s="888"/>
      <c r="Z457" s="897">
        <v>5177</v>
      </c>
      <c r="AA457" s="889"/>
      <c r="AB457" s="888"/>
      <c r="AC457" s="897">
        <v>5177</v>
      </c>
      <c r="AD457" s="889"/>
      <c r="AE457" s="888"/>
      <c r="AF457" s="897">
        <v>5177</v>
      </c>
      <c r="AG457" s="889"/>
      <c r="AH457" s="888"/>
      <c r="AI457" s="897">
        <v>5177</v>
      </c>
      <c r="AJ457" s="889"/>
      <c r="AK457" s="888"/>
      <c r="AL457" s="897">
        <v>5177</v>
      </c>
      <c r="AM457" s="889"/>
      <c r="AN457" s="888"/>
      <c r="AO457" s="897">
        <v>5177</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41937.979999999996</v>
      </c>
      <c r="F458" s="892"/>
      <c r="G458" s="891"/>
      <c r="H458" s="909">
        <v>3445</v>
      </c>
      <c r="I458" s="892"/>
      <c r="J458" s="891"/>
      <c r="K458" s="909">
        <v>3445</v>
      </c>
      <c r="L458" s="892"/>
      <c r="M458" s="891"/>
      <c r="N458" s="909">
        <v>3445</v>
      </c>
      <c r="O458" s="892"/>
      <c r="P458" s="891"/>
      <c r="Q458" s="909">
        <v>3445</v>
      </c>
      <c r="R458" s="892"/>
      <c r="S458" s="891"/>
      <c r="T458" s="909">
        <v>3445</v>
      </c>
      <c r="U458" s="892"/>
      <c r="V458" s="891"/>
      <c r="W458" s="909">
        <v>3761.7</v>
      </c>
      <c r="X458" s="892"/>
      <c r="Y458" s="891"/>
      <c r="Z458" s="909">
        <v>3726.28</v>
      </c>
      <c r="AA458" s="892"/>
      <c r="AB458" s="891"/>
      <c r="AC458" s="909">
        <v>3445</v>
      </c>
      <c r="AD458" s="892"/>
      <c r="AE458" s="891"/>
      <c r="AF458" s="909">
        <v>3445</v>
      </c>
      <c r="AG458" s="892"/>
      <c r="AH458" s="891"/>
      <c r="AI458" s="909">
        <v>3445</v>
      </c>
      <c r="AJ458" s="892"/>
      <c r="AK458" s="891"/>
      <c r="AL458" s="909">
        <v>3445</v>
      </c>
      <c r="AM458" s="892"/>
      <c r="AN458" s="891"/>
      <c r="AO458" s="909">
        <v>3445</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46716.960000000014</v>
      </c>
      <c r="F460" s="892"/>
      <c r="G460" s="891"/>
      <c r="H460" s="909">
        <v>3893.08</v>
      </c>
      <c r="I460" s="892"/>
      <c r="J460" s="891"/>
      <c r="K460" s="909">
        <v>3893.08</v>
      </c>
      <c r="L460" s="892"/>
      <c r="M460" s="891"/>
      <c r="N460" s="909">
        <v>3893.08</v>
      </c>
      <c r="O460" s="892"/>
      <c r="P460" s="891"/>
      <c r="Q460" s="909">
        <v>3893.08</v>
      </c>
      <c r="R460" s="892"/>
      <c r="S460" s="891"/>
      <c r="T460" s="909">
        <v>3893.08</v>
      </c>
      <c r="U460" s="892"/>
      <c r="V460" s="891"/>
      <c r="W460" s="909">
        <v>3893.08</v>
      </c>
      <c r="X460" s="892"/>
      <c r="Y460" s="891"/>
      <c r="Z460" s="909">
        <v>3893.08</v>
      </c>
      <c r="AA460" s="892"/>
      <c r="AB460" s="891"/>
      <c r="AC460" s="909">
        <v>3893.08</v>
      </c>
      <c r="AD460" s="892"/>
      <c r="AE460" s="891"/>
      <c r="AF460" s="909">
        <v>3893.08</v>
      </c>
      <c r="AG460" s="892"/>
      <c r="AH460" s="891"/>
      <c r="AI460" s="909">
        <v>3893.08</v>
      </c>
      <c r="AJ460" s="892"/>
      <c r="AK460" s="891"/>
      <c r="AL460" s="909">
        <v>3893.08</v>
      </c>
      <c r="AM460" s="892"/>
      <c r="AN460" s="891"/>
      <c r="AO460" s="909">
        <v>3893.08</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48185.749999999978</v>
      </c>
      <c r="F461" s="889"/>
      <c r="G461" s="888"/>
      <c r="H461" s="897">
        <v>3759.83</v>
      </c>
      <c r="I461" s="889"/>
      <c r="J461" s="888"/>
      <c r="K461" s="897">
        <v>3668.39</v>
      </c>
      <c r="L461" s="889"/>
      <c r="M461" s="888"/>
      <c r="N461" s="897">
        <v>5234.0599999999904</v>
      </c>
      <c r="O461" s="889"/>
      <c r="P461" s="888"/>
      <c r="Q461" s="897">
        <v>8641.99</v>
      </c>
      <c r="R461" s="889"/>
      <c r="S461" s="888"/>
      <c r="T461" s="897">
        <v>2432.3200000000002</v>
      </c>
      <c r="U461" s="889"/>
      <c r="V461" s="888"/>
      <c r="W461" s="897">
        <v>767.85</v>
      </c>
      <c r="X461" s="889"/>
      <c r="Y461" s="888"/>
      <c r="Z461" s="897">
        <v>4087.0299999999902</v>
      </c>
      <c r="AA461" s="889"/>
      <c r="AB461" s="888"/>
      <c r="AC461" s="897">
        <v>3536.68</v>
      </c>
      <c r="AD461" s="889"/>
      <c r="AE461" s="888"/>
      <c r="AF461" s="897">
        <v>3249.79</v>
      </c>
      <c r="AG461" s="889"/>
      <c r="AH461" s="888"/>
      <c r="AI461" s="897">
        <v>2723.54</v>
      </c>
      <c r="AJ461" s="889"/>
      <c r="AK461" s="888"/>
      <c r="AL461" s="897">
        <v>4271.4799999999996</v>
      </c>
      <c r="AM461" s="889"/>
      <c r="AN461" s="888"/>
      <c r="AO461" s="897">
        <v>5812.79</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83256.219999999914</v>
      </c>
      <c r="F462" s="889"/>
      <c r="G462" s="888"/>
      <c r="H462" s="897">
        <v>6423.3299999999899</v>
      </c>
      <c r="I462" s="889"/>
      <c r="J462" s="888"/>
      <c r="K462" s="897">
        <v>6423.3299999999899</v>
      </c>
      <c r="L462" s="889"/>
      <c r="M462" s="888"/>
      <c r="N462" s="897">
        <v>6423.3299999999899</v>
      </c>
      <c r="O462" s="889"/>
      <c r="P462" s="888"/>
      <c r="Q462" s="897">
        <v>6423.3299999999899</v>
      </c>
      <c r="R462" s="889"/>
      <c r="S462" s="888"/>
      <c r="T462" s="897">
        <v>7623.3299999999899</v>
      </c>
      <c r="U462" s="889"/>
      <c r="V462" s="888"/>
      <c r="W462" s="897">
        <v>7623.3299999999899</v>
      </c>
      <c r="X462" s="889"/>
      <c r="Y462" s="888"/>
      <c r="Z462" s="897">
        <v>7623.3299999999899</v>
      </c>
      <c r="AA462" s="889"/>
      <c r="AB462" s="888"/>
      <c r="AC462" s="897">
        <v>7223.3299999999899</v>
      </c>
      <c r="AD462" s="889"/>
      <c r="AE462" s="888"/>
      <c r="AF462" s="897">
        <v>6866.77</v>
      </c>
      <c r="AG462" s="889"/>
      <c r="AH462" s="888"/>
      <c r="AI462" s="897">
        <v>6837.21</v>
      </c>
      <c r="AJ462" s="889"/>
      <c r="AK462" s="888"/>
      <c r="AL462" s="897">
        <v>7342.27</v>
      </c>
      <c r="AM462" s="889"/>
      <c r="AN462" s="888"/>
      <c r="AO462" s="897">
        <v>6423.3299999999899</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9055.1299999999992</v>
      </c>
      <c r="F463" s="892"/>
      <c r="G463" s="891"/>
      <c r="H463" s="909">
        <v>1130.2</v>
      </c>
      <c r="I463" s="892"/>
      <c r="J463" s="891"/>
      <c r="K463" s="909">
        <v>287.2</v>
      </c>
      <c r="L463" s="892"/>
      <c r="M463" s="891"/>
      <c r="N463" s="909">
        <v>74.7</v>
      </c>
      <c r="O463" s="892"/>
      <c r="P463" s="891"/>
      <c r="Q463" s="909">
        <v>254.6</v>
      </c>
      <c r="R463" s="892"/>
      <c r="S463" s="891"/>
      <c r="T463" s="909">
        <v>311.39999999999998</v>
      </c>
      <c r="U463" s="892"/>
      <c r="V463" s="891"/>
      <c r="W463" s="909">
        <v>329.85</v>
      </c>
      <c r="X463" s="892"/>
      <c r="Y463" s="891"/>
      <c r="Z463" s="909">
        <v>274.05</v>
      </c>
      <c r="AA463" s="892"/>
      <c r="AB463" s="891"/>
      <c r="AC463" s="909">
        <v>4436.45</v>
      </c>
      <c r="AD463" s="892"/>
      <c r="AE463" s="891"/>
      <c r="AF463" s="909">
        <v>369.7</v>
      </c>
      <c r="AG463" s="892"/>
      <c r="AH463" s="891"/>
      <c r="AI463" s="909">
        <v>282.25</v>
      </c>
      <c r="AJ463" s="892"/>
      <c r="AK463" s="891"/>
      <c r="AL463" s="909">
        <v>1304.73</v>
      </c>
      <c r="AM463" s="892"/>
      <c r="AN463" s="891"/>
      <c r="AO463" s="909">
        <v>0</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10467.630000000001</v>
      </c>
      <c r="F464" s="889"/>
      <c r="G464" s="888"/>
      <c r="H464" s="897">
        <v>1775.46</v>
      </c>
      <c r="I464" s="889"/>
      <c r="J464" s="888"/>
      <c r="K464" s="897">
        <v>562.73</v>
      </c>
      <c r="L464" s="889"/>
      <c r="M464" s="888"/>
      <c r="N464" s="897">
        <v>562.74</v>
      </c>
      <c r="O464" s="889"/>
      <c r="P464" s="888"/>
      <c r="Q464" s="897">
        <v>830.07</v>
      </c>
      <c r="R464" s="889"/>
      <c r="S464" s="888"/>
      <c r="T464" s="897">
        <v>614.35</v>
      </c>
      <c r="U464" s="889"/>
      <c r="V464" s="888"/>
      <c r="W464" s="897">
        <v>1067.6300000000001</v>
      </c>
      <c r="X464" s="889"/>
      <c r="Y464" s="888"/>
      <c r="Z464" s="897">
        <v>897.64</v>
      </c>
      <c r="AA464" s="889"/>
      <c r="AB464" s="888"/>
      <c r="AC464" s="897">
        <v>1171.24</v>
      </c>
      <c r="AD464" s="889"/>
      <c r="AE464" s="888"/>
      <c r="AF464" s="897">
        <v>698.08</v>
      </c>
      <c r="AG464" s="889"/>
      <c r="AH464" s="888"/>
      <c r="AI464" s="897">
        <v>1159.0899999999999</v>
      </c>
      <c r="AJ464" s="889"/>
      <c r="AK464" s="888"/>
      <c r="AL464" s="897">
        <v>1128.5999999999999</v>
      </c>
      <c r="AM464" s="889"/>
      <c r="AN464" s="888"/>
      <c r="AO464" s="897">
        <v>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0.10149146757087206</v>
      </c>
      <c r="D469" s="896"/>
      <c r="E469" s="895">
        <v>733743.66999999993</v>
      </c>
      <c r="F469" s="893"/>
      <c r="G469" s="896"/>
      <c r="H469" s="895">
        <v>61603.899999999987</v>
      </c>
      <c r="I469" s="893"/>
      <c r="J469" s="896"/>
      <c r="K469" s="895">
        <v>59456.729999999989</v>
      </c>
      <c r="L469" s="893"/>
      <c r="M469" s="896"/>
      <c r="N469" s="895">
        <v>60809.909999999974</v>
      </c>
      <c r="O469" s="893"/>
      <c r="P469" s="896"/>
      <c r="Q469" s="895">
        <v>64665.069999999985</v>
      </c>
      <c r="R469" s="893"/>
      <c r="S469" s="896"/>
      <c r="T469" s="895">
        <v>59496.479999999989</v>
      </c>
      <c r="U469" s="893"/>
      <c r="V469" s="896"/>
      <c r="W469" s="895">
        <v>58620.439999999981</v>
      </c>
      <c r="X469" s="893"/>
      <c r="Y469" s="896"/>
      <c r="Z469" s="895">
        <v>61678.409999999982</v>
      </c>
      <c r="AA469" s="893"/>
      <c r="AB469" s="896"/>
      <c r="AC469" s="895">
        <v>64882.779999999984</v>
      </c>
      <c r="AD469" s="893"/>
      <c r="AE469" s="896"/>
      <c r="AF469" s="895">
        <v>59699.42</v>
      </c>
      <c r="AG469" s="893"/>
      <c r="AH469" s="896"/>
      <c r="AI469" s="895">
        <v>59517.17</v>
      </c>
      <c r="AJ469" s="893"/>
      <c r="AK469" s="896"/>
      <c r="AL469" s="895">
        <v>62562.16</v>
      </c>
      <c r="AM469" s="893"/>
      <c r="AN469" s="896"/>
      <c r="AO469" s="895">
        <v>60751.19999999999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339740.95999999967</v>
      </c>
      <c r="F470" s="910"/>
      <c r="G470" s="911"/>
      <c r="H470" s="912"/>
      <c r="I470" s="910"/>
      <c r="J470" s="911"/>
      <c r="K470" s="912"/>
      <c r="L470" s="910"/>
      <c r="M470" s="911"/>
      <c r="N470" s="912"/>
      <c r="O470" s="910"/>
      <c r="P470" s="911"/>
      <c r="Q470" s="912"/>
      <c r="R470" s="910"/>
      <c r="S470" s="911"/>
      <c r="T470" s="912"/>
      <c r="U470" s="910"/>
      <c r="V470" s="911"/>
      <c r="W470" s="912"/>
      <c r="X470" s="910"/>
      <c r="Y470" s="911"/>
      <c r="Z470" s="912"/>
      <c r="AA470" s="910"/>
      <c r="AB470" s="911"/>
      <c r="AC470" s="912"/>
      <c r="AD470" s="910"/>
      <c r="AE470" s="911"/>
      <c r="AF470" s="912"/>
      <c r="AG470" s="910"/>
      <c r="AH470" s="911"/>
      <c r="AI470" s="912"/>
      <c r="AJ470" s="910"/>
      <c r="AK470" s="911"/>
      <c r="AL470" s="912"/>
      <c r="AM470" s="910"/>
      <c r="AN470" s="911"/>
      <c r="AO470" s="912"/>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1.0608148911590871</v>
      </c>
      <c r="D471" s="896"/>
      <c r="E471" s="895">
        <v>7669277.3299999973</v>
      </c>
      <c r="F471" s="893"/>
      <c r="G471" s="896"/>
      <c r="H471" s="895">
        <v>575639.63</v>
      </c>
      <c r="I471" s="893"/>
      <c r="J471" s="896"/>
      <c r="K471" s="895">
        <v>615291.54</v>
      </c>
      <c r="L471" s="893"/>
      <c r="M471" s="896"/>
      <c r="N471" s="895">
        <v>663334.43999999994</v>
      </c>
      <c r="O471" s="893"/>
      <c r="P471" s="896"/>
      <c r="Q471" s="895">
        <v>677348.62</v>
      </c>
      <c r="R471" s="893"/>
      <c r="S471" s="896"/>
      <c r="T471" s="895">
        <v>721828.38</v>
      </c>
      <c r="U471" s="893"/>
      <c r="V471" s="896"/>
      <c r="W471" s="895">
        <v>594499.6</v>
      </c>
      <c r="X471" s="893"/>
      <c r="Y471" s="896"/>
      <c r="Z471" s="895">
        <v>646102.14</v>
      </c>
      <c r="AA471" s="893"/>
      <c r="AB471" s="896"/>
      <c r="AC471" s="895">
        <v>686853.05</v>
      </c>
      <c r="AD471" s="893"/>
      <c r="AE471" s="896"/>
      <c r="AF471" s="895">
        <v>625275.68000000005</v>
      </c>
      <c r="AG471" s="893"/>
      <c r="AH471" s="896"/>
      <c r="AI471" s="895">
        <v>657650.66</v>
      </c>
      <c r="AJ471" s="893"/>
      <c r="AK471" s="896"/>
      <c r="AL471" s="895">
        <v>640093.78</v>
      </c>
      <c r="AM471" s="893"/>
      <c r="AN471" s="896"/>
      <c r="AO471" s="895">
        <v>565359.80999999901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183398.22</v>
      </c>
      <c r="F472" s="913"/>
      <c r="G472" s="914"/>
      <c r="H472" s="915">
        <v>7.62</v>
      </c>
      <c r="I472" s="913"/>
      <c r="J472" s="914"/>
      <c r="K472" s="915">
        <v>1162.58</v>
      </c>
      <c r="L472" s="913"/>
      <c r="M472" s="914"/>
      <c r="N472" s="915">
        <v>31389.32</v>
      </c>
      <c r="O472" s="913"/>
      <c r="P472" s="914"/>
      <c r="Q472" s="915">
        <v>39288.01</v>
      </c>
      <c r="R472" s="913"/>
      <c r="S472" s="914"/>
      <c r="T472" s="915">
        <v>125.88</v>
      </c>
      <c r="U472" s="913"/>
      <c r="V472" s="914"/>
      <c r="W472" s="915">
        <v>22818.3</v>
      </c>
      <c r="X472" s="913"/>
      <c r="Y472" s="914"/>
      <c r="Z472" s="915">
        <v>7191.32</v>
      </c>
      <c r="AA472" s="913"/>
      <c r="AB472" s="914"/>
      <c r="AC472" s="915">
        <v>19034.12</v>
      </c>
      <c r="AD472" s="913"/>
      <c r="AE472" s="914"/>
      <c r="AF472" s="915">
        <v>15409.31</v>
      </c>
      <c r="AG472" s="913"/>
      <c r="AH472" s="914"/>
      <c r="AI472" s="915">
        <v>32956.15</v>
      </c>
      <c r="AJ472" s="913"/>
      <c r="AK472" s="914"/>
      <c r="AL472" s="915">
        <v>52.79</v>
      </c>
      <c r="AM472" s="913"/>
      <c r="AN472" s="914"/>
      <c r="AO472" s="915">
        <v>13962.82</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953913.25</v>
      </c>
      <c r="F473" s="916"/>
      <c r="G473" s="917"/>
      <c r="H473" s="886">
        <v>51590</v>
      </c>
      <c r="I473" s="916"/>
      <c r="J473" s="917"/>
      <c r="K473" s="886">
        <v>91804.85</v>
      </c>
      <c r="L473" s="916"/>
      <c r="M473" s="917"/>
      <c r="N473" s="886">
        <v>83565</v>
      </c>
      <c r="O473" s="916"/>
      <c r="P473" s="917"/>
      <c r="Q473" s="886">
        <v>106078.85</v>
      </c>
      <c r="R473" s="916"/>
      <c r="S473" s="917"/>
      <c r="T473" s="886">
        <v>99044.7</v>
      </c>
      <c r="U473" s="916"/>
      <c r="V473" s="917"/>
      <c r="W473" s="886">
        <v>55522</v>
      </c>
      <c r="X473" s="916"/>
      <c r="Y473" s="917"/>
      <c r="Z473" s="886">
        <v>127510</v>
      </c>
      <c r="AA473" s="916"/>
      <c r="AB473" s="917"/>
      <c r="AC473" s="886">
        <v>110039</v>
      </c>
      <c r="AD473" s="916"/>
      <c r="AE473" s="917"/>
      <c r="AF473" s="886">
        <v>52835</v>
      </c>
      <c r="AG473" s="916"/>
      <c r="AH473" s="917"/>
      <c r="AI473" s="886">
        <v>66750.850000000006</v>
      </c>
      <c r="AJ473" s="916"/>
      <c r="AK473" s="917"/>
      <c r="AL473" s="886">
        <v>55120</v>
      </c>
      <c r="AM473" s="916"/>
      <c r="AN473" s="917"/>
      <c r="AO473" s="886">
        <v>54053</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Programme neuf 1</v>
      </c>
      <c r="B474" s="54" t="s">
        <v>145</v>
      </c>
      <c r="C474" s="916"/>
      <c r="D474" s="917"/>
      <c r="E474" s="886">
        <v>87295</v>
      </c>
      <c r="F474" s="916"/>
      <c r="G474" s="917"/>
      <c r="H474" s="886">
        <v>0</v>
      </c>
      <c r="I474" s="916"/>
      <c r="J474" s="917"/>
      <c r="K474" s="886">
        <v>0</v>
      </c>
      <c r="L474" s="916"/>
      <c r="M474" s="917"/>
      <c r="N474" s="886">
        <v>0</v>
      </c>
      <c r="O474" s="916"/>
      <c r="P474" s="917"/>
      <c r="Q474" s="886">
        <v>695</v>
      </c>
      <c r="R474" s="916"/>
      <c r="S474" s="917"/>
      <c r="T474" s="886">
        <v>0</v>
      </c>
      <c r="U474" s="916"/>
      <c r="V474" s="917"/>
      <c r="W474" s="886">
        <v>20000</v>
      </c>
      <c r="X474" s="916"/>
      <c r="Y474" s="917"/>
      <c r="Z474" s="886">
        <v>18100</v>
      </c>
      <c r="AA474" s="916"/>
      <c r="AB474" s="917"/>
      <c r="AC474" s="886">
        <v>0</v>
      </c>
      <c r="AD474" s="916"/>
      <c r="AE474" s="917"/>
      <c r="AF474" s="886">
        <v>16000</v>
      </c>
      <c r="AG474" s="916"/>
      <c r="AH474" s="917"/>
      <c r="AI474" s="886">
        <v>0</v>
      </c>
      <c r="AJ474" s="916"/>
      <c r="AK474" s="917"/>
      <c r="AL474" s="886">
        <v>12500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Programme neuf 2</v>
      </c>
      <c r="B475" s="54" t="s">
        <v>146</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Programme used 1</v>
      </c>
      <c r="B477" s="54" t="s">
        <v>158</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459937.5</v>
      </c>
      <c r="F483" s="918"/>
      <c r="G483" s="917"/>
      <c r="H483" s="886">
        <v>28662</v>
      </c>
      <c r="I483" s="918"/>
      <c r="J483" s="917"/>
      <c r="K483" s="886">
        <v>38314</v>
      </c>
      <c r="L483" s="918"/>
      <c r="M483" s="917"/>
      <c r="N483" s="886">
        <v>40545</v>
      </c>
      <c r="O483" s="918"/>
      <c r="P483" s="917"/>
      <c r="Q483" s="886">
        <v>42466</v>
      </c>
      <c r="R483" s="918"/>
      <c r="S483" s="917"/>
      <c r="T483" s="886">
        <v>43463</v>
      </c>
      <c r="U483" s="918"/>
      <c r="V483" s="917"/>
      <c r="W483" s="886">
        <v>32999.5</v>
      </c>
      <c r="X483" s="918"/>
      <c r="Y483" s="917"/>
      <c r="Z483" s="886">
        <v>48184</v>
      </c>
      <c r="AA483" s="918"/>
      <c r="AB483" s="917"/>
      <c r="AC483" s="886">
        <v>50928</v>
      </c>
      <c r="AD483" s="918"/>
      <c r="AE483" s="917"/>
      <c r="AF483" s="886">
        <v>32595</v>
      </c>
      <c r="AG483" s="918"/>
      <c r="AH483" s="917"/>
      <c r="AI483" s="886">
        <v>44706</v>
      </c>
      <c r="AJ483" s="918"/>
      <c r="AK483" s="917"/>
      <c r="AL483" s="886">
        <v>31851</v>
      </c>
      <c r="AM483" s="918"/>
      <c r="AN483" s="917"/>
      <c r="AO483" s="886">
        <v>25224</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0.23300622096400925</v>
      </c>
      <c r="D484" s="919"/>
      <c r="E484" s="895">
        <v>1684543.97</v>
      </c>
      <c r="F484" s="893"/>
      <c r="G484" s="919"/>
      <c r="H484" s="895">
        <v>80259.62</v>
      </c>
      <c r="I484" s="893"/>
      <c r="J484" s="919"/>
      <c r="K484" s="895">
        <v>131281.43</v>
      </c>
      <c r="L484" s="893"/>
      <c r="M484" s="919"/>
      <c r="N484" s="895">
        <v>155499.32</v>
      </c>
      <c r="O484" s="893"/>
      <c r="P484" s="919"/>
      <c r="Q484" s="895">
        <v>188527.86000000002</v>
      </c>
      <c r="R484" s="893"/>
      <c r="S484" s="919"/>
      <c r="T484" s="895">
        <v>142633.58000000002</v>
      </c>
      <c r="U484" s="893"/>
      <c r="V484" s="919"/>
      <c r="W484" s="895">
        <v>131339.79999999999</v>
      </c>
      <c r="X484" s="893"/>
      <c r="Y484" s="919"/>
      <c r="Z484" s="895">
        <v>200985.32</v>
      </c>
      <c r="AA484" s="893"/>
      <c r="AB484" s="919"/>
      <c r="AC484" s="895">
        <v>180001.12</v>
      </c>
      <c r="AD484" s="893"/>
      <c r="AE484" s="919"/>
      <c r="AF484" s="895">
        <v>116839.31</v>
      </c>
      <c r="AG484" s="893"/>
      <c r="AH484" s="919"/>
      <c r="AI484" s="895">
        <v>144413</v>
      </c>
      <c r="AJ484" s="893"/>
      <c r="AK484" s="919"/>
      <c r="AL484" s="895">
        <v>99523.790000000008</v>
      </c>
      <c r="AM484" s="893"/>
      <c r="AN484" s="919"/>
      <c r="AO484" s="895">
        <v>113239.82</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218487.45</v>
      </c>
      <c r="F485" s="920"/>
      <c r="G485" s="921"/>
      <c r="H485" s="922"/>
      <c r="I485" s="920"/>
      <c r="J485" s="921"/>
      <c r="K485" s="922"/>
      <c r="L485" s="920"/>
      <c r="M485" s="921"/>
      <c r="N485" s="922"/>
      <c r="O485" s="920"/>
      <c r="P485" s="921"/>
      <c r="Q485" s="922"/>
      <c r="R485" s="920"/>
      <c r="S485" s="921"/>
      <c r="T485" s="922"/>
      <c r="U485" s="920"/>
      <c r="V485" s="921"/>
      <c r="W485" s="922"/>
      <c r="X485" s="920"/>
      <c r="Y485" s="921"/>
      <c r="Z485" s="922"/>
      <c r="AA485" s="920"/>
      <c r="AB485" s="921"/>
      <c r="AC485" s="922"/>
      <c r="AD485" s="920"/>
      <c r="AE485" s="921"/>
      <c r="AF485" s="922"/>
      <c r="AG485" s="920"/>
      <c r="AH485" s="921"/>
      <c r="AI485" s="922"/>
      <c r="AJ485" s="920"/>
      <c r="AK485" s="921"/>
      <c r="AL485" s="922"/>
      <c r="AM485" s="920"/>
      <c r="AN485" s="921"/>
      <c r="AO485" s="922"/>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1.9836588235025501E-2</v>
      </c>
      <c r="E486" s="925">
        <v>1244876.0599999905</v>
      </c>
      <c r="F486" s="926" t="s">
        <v>219</v>
      </c>
      <c r="G486" s="927">
        <v>-1.3254848656229098E-2</v>
      </c>
      <c r="H486" s="928">
        <v>-55934.650000000547</v>
      </c>
      <c r="I486" s="926" t="s">
        <v>219</v>
      </c>
      <c r="J486" s="927">
        <v>4.2351526568043833E-3</v>
      </c>
      <c r="K486" s="928">
        <v>24856.299999999523</v>
      </c>
      <c r="L486" s="926" t="s">
        <v>219</v>
      </c>
      <c r="M486" s="927">
        <v>2.129914855042446E-2</v>
      </c>
      <c r="N486" s="928">
        <v>130608.00999999879</v>
      </c>
      <c r="O486" s="926" t="s">
        <v>219</v>
      </c>
      <c r="P486" s="927">
        <v>4.0254102204976987E-2</v>
      </c>
      <c r="Q486" s="928">
        <v>237063.83999999918</v>
      </c>
      <c r="R486" s="926" t="s">
        <v>219</v>
      </c>
      <c r="S486" s="927">
        <v>1.7295577549075389E-2</v>
      </c>
      <c r="T486" s="928">
        <v>113032.21999999956</v>
      </c>
      <c r="U486" s="926" t="s">
        <v>219</v>
      </c>
      <c r="V486" s="927">
        <v>3.9738762376396019E-3</v>
      </c>
      <c r="W486" s="928">
        <v>15909.619999999413</v>
      </c>
      <c r="X486" s="926" t="s">
        <v>219</v>
      </c>
      <c r="Y486" s="927">
        <v>3.3343654457104334E-2</v>
      </c>
      <c r="Z486" s="928">
        <v>221800.53999999847</v>
      </c>
      <c r="AA486" s="926" t="s">
        <v>219</v>
      </c>
      <c r="AB486" s="927">
        <v>2.0696549772625986E-2</v>
      </c>
      <c r="AC486" s="928">
        <v>133813.7399999979</v>
      </c>
      <c r="AD486" s="926" t="s">
        <v>219</v>
      </c>
      <c r="AE486" s="927">
        <v>1.4817575906547737E-2</v>
      </c>
      <c r="AF486" s="928">
        <v>64103.409999999742</v>
      </c>
      <c r="AG486" s="926" t="s">
        <v>219</v>
      </c>
      <c r="AH486" s="927">
        <v>3.1502316578024353E-2</v>
      </c>
      <c r="AI486" s="928">
        <v>149849.96999999892</v>
      </c>
      <c r="AJ486" s="926" t="s">
        <v>219</v>
      </c>
      <c r="AK486" s="927">
        <v>4.8425867697527533E-2</v>
      </c>
      <c r="AL486" s="928">
        <v>204268.02999999849</v>
      </c>
      <c r="AM486" s="926" t="s">
        <v>219</v>
      </c>
      <c r="AN486" s="927">
        <v>1.4923439593736596E-3</v>
      </c>
      <c r="AO486" s="928">
        <v>5505.0300000007264</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3935</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t="s">
        <v>3915</v>
      </c>
      <c r="C491" s="757" t="s">
        <v>219</v>
      </c>
      <c r="D491" s="757">
        <v>2.5670199638354759E-2</v>
      </c>
      <c r="E491" s="929">
        <v>1610973.4499999904</v>
      </c>
      <c r="F491" s="757" t="s">
        <v>219</v>
      </c>
      <c r="G491" s="757">
        <v>-6.3843722245081535E-3</v>
      </c>
      <c r="H491" s="929">
        <v>-26941.660000000546</v>
      </c>
      <c r="I491" s="757" t="s">
        <v>219</v>
      </c>
      <c r="J491" s="757">
        <v>1.0851883723276558E-2</v>
      </c>
      <c r="K491" s="929">
        <v>63690.189999999522</v>
      </c>
      <c r="L491" s="757" t="s">
        <v>219</v>
      </c>
      <c r="M491" s="757">
        <v>2.8335862694004184E-2</v>
      </c>
      <c r="N491" s="929">
        <v>173757.67999999877</v>
      </c>
      <c r="O491" s="757" t="s">
        <v>219</v>
      </c>
      <c r="P491" s="757">
        <v>4.7619244024278397E-2</v>
      </c>
      <c r="Q491" s="929">
        <v>280438.5199999992</v>
      </c>
      <c r="R491" s="757" t="s">
        <v>219</v>
      </c>
      <c r="S491" s="757">
        <v>2.5227307058875523E-2</v>
      </c>
      <c r="T491" s="929">
        <v>164868.64999999956</v>
      </c>
      <c r="U491" s="757" t="s">
        <v>219</v>
      </c>
      <c r="V491" s="757">
        <v>1.5766299683543903E-2</v>
      </c>
      <c r="W491" s="929">
        <v>63121.199999999415</v>
      </c>
      <c r="X491" s="757" t="s">
        <v>219</v>
      </c>
      <c r="Y491" s="757">
        <v>4.0714688795478175E-2</v>
      </c>
      <c r="Z491" s="929">
        <v>270832.33999999845</v>
      </c>
      <c r="AA491" s="757" t="s">
        <v>219</v>
      </c>
      <c r="AB491" s="757">
        <v>2.6381512384250259E-2</v>
      </c>
      <c r="AC491" s="929">
        <v>170569.91999999789</v>
      </c>
      <c r="AD491" s="757" t="s">
        <v>219</v>
      </c>
      <c r="AE491" s="757">
        <v>2.247566151345802E-2</v>
      </c>
      <c r="AF491" s="929">
        <v>97233.619999999733</v>
      </c>
      <c r="AG491" s="757" t="s">
        <v>219</v>
      </c>
      <c r="AH491" s="757">
        <v>3.7753430669183033E-2</v>
      </c>
      <c r="AI491" s="929">
        <v>179585.21999999892</v>
      </c>
      <c r="AJ491" s="757" t="s">
        <v>219</v>
      </c>
      <c r="AK491" s="757">
        <v>4.0166104011308164E-2</v>
      </c>
      <c r="AL491" s="929">
        <v>169427.02999999849</v>
      </c>
      <c r="AM491" s="757" t="s">
        <v>219</v>
      </c>
      <c r="AN491" s="757">
        <v>1.190274043226017E-3</v>
      </c>
      <c r="AO491" s="929">
        <v>4390.7400000007256</v>
      </c>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1.9836588235025501E-2</v>
      </c>
      <c r="E492" s="932">
        <v>1244876.0599999905</v>
      </c>
      <c r="F492" s="933" t="s">
        <v>219</v>
      </c>
      <c r="G492" s="931">
        <v>-1.3254848656229098E-2</v>
      </c>
      <c r="H492" s="934">
        <v>-55934.650000000547</v>
      </c>
      <c r="I492" s="933" t="s">
        <v>219</v>
      </c>
      <c r="J492" s="931">
        <v>4.2351526568043833E-3</v>
      </c>
      <c r="K492" s="934">
        <v>24856.299999999523</v>
      </c>
      <c r="L492" s="933" t="s">
        <v>219</v>
      </c>
      <c r="M492" s="931">
        <v>2.129914855042446E-2</v>
      </c>
      <c r="N492" s="934">
        <v>130608.00999999879</v>
      </c>
      <c r="O492" s="933" t="s">
        <v>219</v>
      </c>
      <c r="P492" s="931">
        <v>4.0254102204976987E-2</v>
      </c>
      <c r="Q492" s="934">
        <v>237063.83999999918</v>
      </c>
      <c r="R492" s="933" t="s">
        <v>219</v>
      </c>
      <c r="S492" s="931">
        <v>1.7295577549075389E-2</v>
      </c>
      <c r="T492" s="934">
        <v>113032.21999999956</v>
      </c>
      <c r="U492" s="933" t="s">
        <v>219</v>
      </c>
      <c r="V492" s="931">
        <v>3.9738762376396019E-3</v>
      </c>
      <c r="W492" s="934">
        <v>15909.619999999413</v>
      </c>
      <c r="X492" s="933" t="s">
        <v>219</v>
      </c>
      <c r="Y492" s="931">
        <v>3.3343654457104334E-2</v>
      </c>
      <c r="Z492" s="934">
        <v>221800.53999999847</v>
      </c>
      <c r="AA492" s="933" t="s">
        <v>219</v>
      </c>
      <c r="AB492" s="931">
        <v>2.0696549772625986E-2</v>
      </c>
      <c r="AC492" s="934">
        <v>133813.7399999979</v>
      </c>
      <c r="AD492" s="933" t="s">
        <v>219</v>
      </c>
      <c r="AE492" s="931">
        <v>1.4817575906547737E-2</v>
      </c>
      <c r="AF492" s="934">
        <v>64103.409999999742</v>
      </c>
      <c r="AG492" s="933" t="s">
        <v>219</v>
      </c>
      <c r="AH492" s="931">
        <v>3.1502316578024353E-2</v>
      </c>
      <c r="AI492" s="934">
        <v>149849.96999999892</v>
      </c>
      <c r="AJ492" s="933" t="s">
        <v>219</v>
      </c>
      <c r="AK492" s="931">
        <v>4.8425867697527533E-2</v>
      </c>
      <c r="AL492" s="934">
        <v>204268.02999999849</v>
      </c>
      <c r="AM492" s="933" t="s">
        <v>219</v>
      </c>
      <c r="AN492" s="931">
        <v>1.4923439593736596E-3</v>
      </c>
      <c r="AO492" s="934">
        <v>5505.0300000007264</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256355.76</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v>
      </c>
      <c r="AA494" s="889"/>
      <c r="AB494" s="888"/>
      <c r="AC494" s="897">
        <v>34648</v>
      </c>
      <c r="AD494" s="889"/>
      <c r="AE494" s="888"/>
      <c r="AF494" s="897">
        <v>34648</v>
      </c>
      <c r="AG494" s="889"/>
      <c r="AH494" s="888"/>
      <c r="AI494" s="897">
        <v>34648</v>
      </c>
      <c r="AJ494" s="889"/>
      <c r="AK494" s="888"/>
      <c r="AL494" s="897">
        <v>34648</v>
      </c>
      <c r="AM494" s="889"/>
      <c r="AN494" s="888"/>
      <c r="AO494" s="897">
        <v>45225.760000000002</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-1916.75</v>
      </c>
      <c r="F496" s="940"/>
      <c r="G496" s="757"/>
      <c r="H496" s="897">
        <v>0</v>
      </c>
      <c r="I496" s="940"/>
      <c r="J496" s="757"/>
      <c r="K496" s="897">
        <v>0</v>
      </c>
      <c r="L496" s="940"/>
      <c r="M496" s="757"/>
      <c r="N496" s="897">
        <v>0</v>
      </c>
      <c r="O496" s="940"/>
      <c r="P496" s="757"/>
      <c r="Q496" s="897">
        <v>-917.02</v>
      </c>
      <c r="R496" s="940"/>
      <c r="S496" s="757"/>
      <c r="T496" s="897">
        <v>0</v>
      </c>
      <c r="U496" s="940"/>
      <c r="V496" s="757"/>
      <c r="W496" s="897">
        <v>0</v>
      </c>
      <c r="X496" s="940"/>
      <c r="Y496" s="757"/>
      <c r="Z496" s="897">
        <v>-666.79</v>
      </c>
      <c r="AA496" s="940"/>
      <c r="AB496" s="757"/>
      <c r="AC496" s="897">
        <v>0</v>
      </c>
      <c r="AD496" s="940"/>
      <c r="AE496" s="757"/>
      <c r="AF496" s="897">
        <v>-332.94</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Intérêts sur hypothèque</v>
      </c>
      <c r="B498" s="76" t="s">
        <v>3934</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3936</v>
      </c>
      <c r="C499" s="810"/>
      <c r="D499" s="810"/>
      <c r="E499" s="938">
        <v>-39335.24</v>
      </c>
      <c r="F499" s="941"/>
      <c r="G499" s="810"/>
      <c r="H499" s="886">
        <v>-4607.6499999999996</v>
      </c>
      <c r="I499" s="941"/>
      <c r="J499" s="810"/>
      <c r="K499" s="886">
        <v>-6685.45</v>
      </c>
      <c r="L499" s="941"/>
      <c r="M499" s="810"/>
      <c r="N499" s="886">
        <v>-4519.5600000000004</v>
      </c>
      <c r="O499" s="941"/>
      <c r="P499" s="810"/>
      <c r="Q499" s="886">
        <v>-4354.1000000000004</v>
      </c>
      <c r="R499" s="941"/>
      <c r="S499" s="810"/>
      <c r="T499" s="886">
        <v>-4607.6499999999996</v>
      </c>
      <c r="U499" s="941"/>
      <c r="V499" s="810"/>
      <c r="W499" s="886">
        <v>-4255.74</v>
      </c>
      <c r="X499" s="941"/>
      <c r="Y499" s="810"/>
      <c r="Z499" s="886">
        <v>-2872.23</v>
      </c>
      <c r="AA499" s="941"/>
      <c r="AB499" s="810"/>
      <c r="AC499" s="886">
        <v>-1789.84</v>
      </c>
      <c r="AD499" s="941"/>
      <c r="AE499" s="810"/>
      <c r="AF499" s="886">
        <v>-1458.19</v>
      </c>
      <c r="AG499" s="941"/>
      <c r="AH499" s="810"/>
      <c r="AI499" s="886">
        <v>-1488.59</v>
      </c>
      <c r="AJ499" s="941"/>
      <c r="AK499" s="810"/>
      <c r="AL499" s="886">
        <v>-1488.59</v>
      </c>
      <c r="AM499" s="941"/>
      <c r="AN499" s="810"/>
      <c r="AO499" s="886">
        <v>-1207.6500000000001</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v>0</v>
      </c>
      <c r="I500" s="941"/>
      <c r="J500" s="810"/>
      <c r="K500" s="886">
        <v>0</v>
      </c>
      <c r="L500" s="941"/>
      <c r="M500" s="810"/>
      <c r="N500" s="886">
        <v>0</v>
      </c>
      <c r="O500" s="941"/>
      <c r="P500" s="810"/>
      <c r="Q500" s="886">
        <v>0</v>
      </c>
      <c r="R500" s="941"/>
      <c r="S500" s="810"/>
      <c r="T500" s="886">
        <v>0</v>
      </c>
      <c r="U500" s="941"/>
      <c r="V500" s="810"/>
      <c r="W500" s="886">
        <v>0</v>
      </c>
      <c r="X500" s="941"/>
      <c r="Y500" s="810"/>
      <c r="Z500" s="886">
        <v>0</v>
      </c>
      <c r="AA500" s="941"/>
      <c r="AB500" s="810"/>
      <c r="AC500" s="886">
        <v>0</v>
      </c>
      <c r="AD500" s="941"/>
      <c r="AE500" s="810"/>
      <c r="AF500" s="886">
        <v>0</v>
      </c>
      <c r="AG500" s="941"/>
      <c r="AH500" s="810"/>
      <c r="AI500" s="886">
        <v>0</v>
      </c>
      <c r="AJ500" s="941"/>
      <c r="AK500" s="810"/>
      <c r="AL500" s="886">
        <v>0</v>
      </c>
      <c r="AM500" s="941"/>
      <c r="AN500" s="810"/>
      <c r="AO500" s="886">
        <v>0</v>
      </c>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1.6408998091399746E-2</v>
      </c>
      <c r="E501" s="944">
        <v>1029772.2899999905</v>
      </c>
      <c r="F501" s="945" t="s">
        <v>219</v>
      </c>
      <c r="G501" s="943">
        <v>9.0147187851284342E-3</v>
      </c>
      <c r="H501" s="946">
        <v>-57642.000000000546</v>
      </c>
      <c r="I501" s="945" t="s">
        <v>219</v>
      </c>
      <c r="J501" s="943">
        <v>1.0090147187851299</v>
      </c>
      <c r="K501" s="946">
        <v>25226.749999999523</v>
      </c>
      <c r="L501" s="945" t="s">
        <v>219</v>
      </c>
      <c r="M501" s="943">
        <v>1.0090147187851299</v>
      </c>
      <c r="N501" s="946">
        <v>128812.56999999878</v>
      </c>
      <c r="O501" s="945" t="s">
        <v>219</v>
      </c>
      <c r="P501" s="943">
        <v>1.0090147187851299</v>
      </c>
      <c r="Q501" s="946">
        <v>236019.95999999918</v>
      </c>
      <c r="R501" s="945" t="s">
        <v>219</v>
      </c>
      <c r="S501" s="943">
        <v>2.0090147187851302</v>
      </c>
      <c r="T501" s="946">
        <v>111324.86999999956</v>
      </c>
      <c r="U501" s="945" t="s">
        <v>219</v>
      </c>
      <c r="V501" s="943">
        <v>3.0090147187851302</v>
      </c>
      <c r="W501" s="946">
        <v>13850.359999999413</v>
      </c>
      <c r="X501" s="945" t="s">
        <v>219</v>
      </c>
      <c r="Y501" s="943">
        <v>3.0090147187851302</v>
      </c>
      <c r="Z501" s="946">
        <v>190691.55999999848</v>
      </c>
      <c r="AA501" s="945" t="s">
        <v>219</v>
      </c>
      <c r="AB501" s="943">
        <v>3.0090147187851302</v>
      </c>
      <c r="AC501" s="946">
        <v>100955.57999999789</v>
      </c>
      <c r="AD501" s="945" t="s">
        <v>219</v>
      </c>
      <c r="AE501" s="943">
        <v>3.0090147187851302</v>
      </c>
      <c r="AF501" s="946">
        <v>31246.539999999739</v>
      </c>
      <c r="AG501" s="945" t="s">
        <v>219</v>
      </c>
      <c r="AH501" s="943">
        <v>3.0090147187851302</v>
      </c>
      <c r="AI501" s="946">
        <v>116690.55999999892</v>
      </c>
      <c r="AJ501" s="945" t="s">
        <v>219</v>
      </c>
      <c r="AK501" s="943">
        <v>3.0090147187851302</v>
      </c>
      <c r="AL501" s="946">
        <v>171108.61999999848</v>
      </c>
      <c r="AM501" s="945" t="s">
        <v>219</v>
      </c>
      <c r="AN501" s="943">
        <v>3.0090147187851302</v>
      </c>
      <c r="AO501" s="946">
        <v>-38513.079999999274</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autoFilter ref="B1:B701"/>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999"/>
  <sheetViews>
    <sheetView topLeftCell="B1" workbookViewId="0">
      <selection activeCell="R7" sqref="R7"/>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3930</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FORECAST</v>
      </c>
      <c r="P3" s="98" t="str">
        <f>+IF(VLOOKUP(P2,Parametres!$L$3:$N$14,3,0)="X","REEL","FORECAST")</f>
        <v>FORECAST</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21" t="s">
        <v>228</v>
      </c>
      <c r="B4" s="1221"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22"/>
      <c r="B5" s="1222"/>
      <c r="C5" s="1223" t="s">
        <v>248</v>
      </c>
      <c r="D5" s="1224"/>
      <c r="E5" s="103">
        <f t="shared" ref="E5:S5" si="0">+SUM(E6:E20)</f>
        <v>90029.98000000001</v>
      </c>
      <c r="F5" s="104">
        <f t="shared" si="0"/>
        <v>40000</v>
      </c>
      <c r="G5" s="104">
        <f t="shared" si="0"/>
        <v>50029.98</v>
      </c>
      <c r="H5" s="105">
        <f t="shared" si="0"/>
        <v>30931.3</v>
      </c>
      <c r="I5" s="106">
        <f t="shared" si="0"/>
        <v>5073.24</v>
      </c>
      <c r="J5" s="106">
        <f t="shared" si="0"/>
        <v>0</v>
      </c>
      <c r="K5" s="106">
        <f t="shared" si="0"/>
        <v>0</v>
      </c>
      <c r="L5" s="106">
        <f t="shared" si="0"/>
        <v>33385.440000000002</v>
      </c>
      <c r="M5" s="106">
        <f t="shared" si="0"/>
        <v>0</v>
      </c>
      <c r="N5" s="106">
        <f t="shared" si="0"/>
        <v>0</v>
      </c>
      <c r="O5" s="106">
        <f t="shared" si="0"/>
        <v>0</v>
      </c>
      <c r="P5" s="106">
        <f t="shared" si="0"/>
        <v>10000</v>
      </c>
      <c r="Q5" s="106">
        <f t="shared" si="0"/>
        <v>0</v>
      </c>
      <c r="R5" s="106">
        <f t="shared" si="0"/>
        <v>10640</v>
      </c>
      <c r="S5" s="106">
        <f t="shared" si="0"/>
        <v>0</v>
      </c>
      <c r="T5" s="107"/>
      <c r="U5" s="3"/>
      <c r="V5" s="3"/>
      <c r="W5" s="3"/>
      <c r="X5" s="1" t="s">
        <v>66</v>
      </c>
      <c r="Y5" s="3"/>
      <c r="Z5" s="3"/>
    </row>
    <row r="6" spans="1:26" ht="30" customHeight="1">
      <c r="A6" s="108" t="str">
        <f>+Parametres!$B$1</f>
        <v>Volks</v>
      </c>
      <c r="B6" s="109" t="s">
        <v>249</v>
      </c>
      <c r="C6" t="s">
        <v>3886</v>
      </c>
      <c r="D6" s="110"/>
      <c r="E6" s="111">
        <f t="shared" ref="E6:E20" si="1">+SUM(H6:S6)</f>
        <v>40000.46</v>
      </c>
      <c r="F6" s="111">
        <v>40000</v>
      </c>
      <c r="G6" s="111">
        <f t="shared" ref="G6:G20" si="2">+E6-F6</f>
        <v>0.45999999999912689</v>
      </c>
      <c r="H6" s="112"/>
      <c r="I6" s="111">
        <v>2000</v>
      </c>
      <c r="J6" s="111"/>
      <c r="K6" s="111"/>
      <c r="L6" s="111">
        <v>17360.46</v>
      </c>
      <c r="M6" s="111"/>
      <c r="N6" s="111"/>
      <c r="O6" s="111"/>
      <c r="P6" s="111">
        <v>10000</v>
      </c>
      <c r="Q6" s="111"/>
      <c r="R6" s="111">
        <v>10640</v>
      </c>
      <c r="S6" s="111"/>
      <c r="T6" s="113"/>
      <c r="U6" s="3"/>
      <c r="V6" s="3"/>
      <c r="W6" s="3"/>
      <c r="X6" s="3" t="s">
        <v>68</v>
      </c>
      <c r="Y6" s="3"/>
      <c r="Z6" s="3"/>
    </row>
    <row r="7" spans="1:26" ht="30" customHeight="1">
      <c r="A7" s="113" t="str">
        <f>+Parametres!$B$1</f>
        <v>Volks</v>
      </c>
      <c r="B7" s="114" t="s">
        <v>250</v>
      </c>
      <c r="C7" t="s">
        <v>3931</v>
      </c>
      <c r="D7" s="110"/>
      <c r="E7" s="112">
        <f t="shared" si="1"/>
        <v>5924.2199999999993</v>
      </c>
      <c r="F7" s="111"/>
      <c r="G7" s="111">
        <f t="shared" si="2"/>
        <v>5924.2199999999993</v>
      </c>
      <c r="H7" s="112"/>
      <c r="I7" s="111">
        <v>3073.24</v>
      </c>
      <c r="J7" s="111"/>
      <c r="K7" s="111"/>
      <c r="L7" s="111">
        <v>2850.98</v>
      </c>
      <c r="M7" s="111"/>
      <c r="N7" s="111"/>
      <c r="O7" s="111"/>
      <c r="P7" s="111"/>
      <c r="Q7" s="111"/>
      <c r="R7" s="111"/>
      <c r="S7" s="111"/>
      <c r="T7" s="113"/>
      <c r="U7" s="3"/>
      <c r="V7" s="3"/>
      <c r="W7" s="3"/>
      <c r="X7" s="3" t="s">
        <v>70</v>
      </c>
      <c r="Y7" s="3"/>
      <c r="Z7" s="3"/>
    </row>
    <row r="8" spans="1:26" ht="30" customHeight="1">
      <c r="A8" s="113" t="str">
        <f>+Parametres!$B$1</f>
        <v>Volks</v>
      </c>
      <c r="B8" s="114"/>
      <c r="C8" t="s">
        <v>3938</v>
      </c>
      <c r="D8" s="110"/>
      <c r="E8" s="112">
        <f t="shared" si="1"/>
        <v>44105.3</v>
      </c>
      <c r="F8" s="111"/>
      <c r="G8" s="111">
        <f t="shared" si="2"/>
        <v>44105.3</v>
      </c>
      <c r="H8" s="112">
        <v>30931.3</v>
      </c>
      <c r="I8" s="111"/>
      <c r="J8" s="111"/>
      <c r="K8" s="111"/>
      <c r="L8" s="111">
        <f>1012+1690+10472</f>
        <v>13174</v>
      </c>
      <c r="M8" s="33"/>
      <c r="N8" s="111"/>
      <c r="O8" s="111"/>
      <c r="P8" s="111"/>
      <c r="Q8" s="111"/>
      <c r="R8" s="111"/>
      <c r="S8" s="111"/>
      <c r="T8" s="113"/>
      <c r="U8" s="3"/>
      <c r="V8" s="3"/>
      <c r="W8" s="3"/>
      <c r="X8" s="3" t="s">
        <v>75</v>
      </c>
      <c r="Y8" s="3"/>
      <c r="Z8" s="3"/>
    </row>
    <row r="9" spans="1:26" ht="30" customHeight="1">
      <c r="A9" s="113" t="str">
        <f>+Parametres!$B$1</f>
        <v>Volks</v>
      </c>
      <c r="B9" s="114"/>
      <c r="D9" s="110"/>
      <c r="E9" s="112">
        <f t="shared" si="1"/>
        <v>0</v>
      </c>
      <c r="F9" s="111"/>
      <c r="G9" s="111">
        <f t="shared" si="2"/>
        <v>0</v>
      </c>
      <c r="H9" s="112"/>
      <c r="I9" s="111"/>
      <c r="J9" s="111"/>
      <c r="K9" s="111"/>
      <c r="L9" s="111"/>
      <c r="M9" s="33"/>
      <c r="N9" s="111"/>
      <c r="O9" s="111"/>
      <c r="P9" s="111"/>
      <c r="Q9" s="111"/>
      <c r="R9" s="111"/>
      <c r="S9" s="111"/>
      <c r="T9" s="113"/>
      <c r="U9" s="3"/>
      <c r="V9" s="3"/>
      <c r="W9" s="3"/>
      <c r="X9" s="3" t="s">
        <v>76</v>
      </c>
      <c r="Y9" s="3"/>
      <c r="Z9" s="3"/>
    </row>
    <row r="10" spans="1:26" ht="30" customHeight="1">
      <c r="A10" s="113" t="str">
        <f>+Parametres!$B$1</f>
        <v>Volks</v>
      </c>
      <c r="B10" s="114"/>
      <c r="D10" s="110"/>
      <c r="E10" s="112">
        <f t="shared" si="1"/>
        <v>0</v>
      </c>
      <c r="F10" s="111"/>
      <c r="G10" s="111">
        <f t="shared" si="2"/>
        <v>0</v>
      </c>
      <c r="H10" s="112"/>
      <c r="I10" s="111"/>
      <c r="J10" s="111"/>
      <c r="K10" s="111"/>
      <c r="L10" s="111"/>
      <c r="M10" s="111"/>
      <c r="N10" s="111"/>
      <c r="O10" s="111"/>
      <c r="P10" s="111"/>
      <c r="Q10" s="111"/>
      <c r="R10" s="111"/>
      <c r="S10" s="111"/>
      <c r="T10" s="113"/>
      <c r="U10" s="3"/>
      <c r="V10" s="3"/>
      <c r="W10" s="3"/>
      <c r="X10" s="3" t="s">
        <v>77</v>
      </c>
      <c r="Y10" s="3"/>
      <c r="Z10" s="3"/>
    </row>
    <row r="11" spans="1:26" ht="30" customHeight="1">
      <c r="A11" s="113" t="str">
        <f>+Parametres!$B$1</f>
        <v>Volks</v>
      </c>
      <c r="B11" s="114"/>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formula1>$X$17</formula1>
    </dataValidation>
    <dataValidation type="list" allowBlank="1" showErrorMessage="1" sqref="D6:D20 X5:X16">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3341</v>
      </c>
      <c r="B3" s="1067" t="s">
        <v>278</v>
      </c>
      <c r="C3" s="1067" t="s">
        <v>267</v>
      </c>
      <c r="D3" s="1067" t="s">
        <v>282</v>
      </c>
      <c r="E3" s="1069">
        <v>24454.46</v>
      </c>
      <c r="F3" s="1065"/>
      <c r="G3" s="1067" t="s">
        <v>3342</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3419</v>
      </c>
      <c r="B4" s="1067" t="s">
        <v>268</v>
      </c>
      <c r="C4" s="1067" t="s">
        <v>267</v>
      </c>
      <c r="D4" s="1067" t="s">
        <v>269</v>
      </c>
      <c r="E4" s="1069">
        <v>37735.15</v>
      </c>
      <c r="F4" s="1065"/>
      <c r="G4" s="1067" t="s">
        <v>3420</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3421</v>
      </c>
      <c r="B5" s="1067" t="s">
        <v>266</v>
      </c>
      <c r="C5" s="1067" t="s">
        <v>267</v>
      </c>
      <c r="D5" s="1067" t="s">
        <v>3408</v>
      </c>
      <c r="E5" s="1069">
        <v>29929.55</v>
      </c>
      <c r="F5" s="1065"/>
      <c r="G5" s="1067" t="s">
        <v>3422</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3441</v>
      </c>
      <c r="B6" s="1067" t="s">
        <v>266</v>
      </c>
      <c r="C6" s="1067" t="s">
        <v>267</v>
      </c>
      <c r="D6" s="1067" t="s">
        <v>262</v>
      </c>
      <c r="E6" s="1069">
        <v>31306.12</v>
      </c>
      <c r="F6" s="1065"/>
      <c r="G6" s="1067" t="s">
        <v>3442</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3548</v>
      </c>
      <c r="B7" s="1067" t="s">
        <v>3549</v>
      </c>
      <c r="C7" s="1067" t="s">
        <v>3543</v>
      </c>
      <c r="D7" s="1067" t="s">
        <v>3544</v>
      </c>
      <c r="E7" s="1069">
        <v>17680.419999999998</v>
      </c>
      <c r="F7" s="1065"/>
      <c r="G7" s="1067" t="s">
        <v>3550</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3463</v>
      </c>
      <c r="B8" s="1067" t="s">
        <v>268</v>
      </c>
      <c r="C8" s="1067" t="s">
        <v>267</v>
      </c>
      <c r="D8" s="1067" t="s">
        <v>260</v>
      </c>
      <c r="E8" s="1069">
        <v>28635.15</v>
      </c>
      <c r="F8" s="1069">
        <v>-31332.799999999999</v>
      </c>
      <c r="G8" s="1067" t="s">
        <v>3464</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3459</v>
      </c>
      <c r="B9" s="1067" t="s">
        <v>259</v>
      </c>
      <c r="C9" s="1067" t="s">
        <v>267</v>
      </c>
      <c r="D9" s="1067" t="s">
        <v>260</v>
      </c>
      <c r="E9" s="1069">
        <v>38815.25</v>
      </c>
      <c r="F9" s="1065"/>
      <c r="G9" s="1067" t="s">
        <v>3460</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3461</v>
      </c>
      <c r="B10" s="1067" t="s">
        <v>278</v>
      </c>
      <c r="C10" s="1067" t="s">
        <v>267</v>
      </c>
      <c r="D10" s="1067" t="s">
        <v>260</v>
      </c>
      <c r="E10" s="1069">
        <v>31315.25</v>
      </c>
      <c r="F10" s="1069">
        <v>-24944.54</v>
      </c>
      <c r="G10" s="1067" t="s">
        <v>3462</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3466</v>
      </c>
      <c r="B11" s="1067" t="s">
        <v>275</v>
      </c>
      <c r="C11" s="1067" t="s">
        <v>267</v>
      </c>
      <c r="D11" s="1067" t="s">
        <v>277</v>
      </c>
      <c r="E11" s="1069">
        <v>21280.25</v>
      </c>
      <c r="F11" s="1069">
        <v>-10962</v>
      </c>
      <c r="G11" s="1067" t="s">
        <v>3467</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3468</v>
      </c>
      <c r="B12" s="1067" t="s">
        <v>266</v>
      </c>
      <c r="C12" s="1067" t="s">
        <v>3469</v>
      </c>
      <c r="D12" s="1067" t="s">
        <v>3470</v>
      </c>
      <c r="E12" s="1069">
        <v>17550</v>
      </c>
      <c r="F12" s="1065"/>
      <c r="G12" s="1067" t="s">
        <v>3471</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3534</v>
      </c>
      <c r="B13" s="1067" t="s">
        <v>275</v>
      </c>
      <c r="C13" s="1067" t="s">
        <v>267</v>
      </c>
      <c r="D13" s="1067" t="s">
        <v>279</v>
      </c>
      <c r="E13" s="1069">
        <v>27280.25</v>
      </c>
      <c r="F13" s="1069">
        <v>-17480.23</v>
      </c>
      <c r="G13" s="1067" t="s">
        <v>3535</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3511</v>
      </c>
      <c r="B14" s="1067" t="s">
        <v>259</v>
      </c>
      <c r="C14" s="1067" t="s">
        <v>267</v>
      </c>
      <c r="D14" s="1067" t="s">
        <v>269</v>
      </c>
      <c r="E14" s="1069">
        <v>44105.05</v>
      </c>
      <c r="F14" s="1069">
        <v>-38250</v>
      </c>
      <c r="G14" s="1067" t="s">
        <v>3512</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3525</v>
      </c>
      <c r="B15" s="1067" t="s">
        <v>278</v>
      </c>
      <c r="C15" s="1067" t="s">
        <v>267</v>
      </c>
      <c r="D15" s="1067" t="s">
        <v>269</v>
      </c>
      <c r="E15" s="1069">
        <v>36415.129999999997</v>
      </c>
      <c r="F15" s="1069">
        <v>-26892</v>
      </c>
      <c r="G15" s="1067" t="s">
        <v>3526</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3519</v>
      </c>
      <c r="B16" s="1067" t="s">
        <v>278</v>
      </c>
      <c r="C16" s="1067" t="s">
        <v>267</v>
      </c>
      <c r="D16" s="1067" t="s">
        <v>260</v>
      </c>
      <c r="E16" s="1069">
        <v>27935.05</v>
      </c>
      <c r="F16" s="1065"/>
      <c r="G16" s="1067" t="s">
        <v>3520</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3545</v>
      </c>
      <c r="B17" s="1067" t="s">
        <v>280</v>
      </c>
      <c r="C17" s="1067" t="s">
        <v>3351</v>
      </c>
      <c r="D17" s="1067" t="s">
        <v>3546</v>
      </c>
      <c r="E17" s="1069">
        <v>20050</v>
      </c>
      <c r="F17" s="1065"/>
      <c r="G17" s="1067" t="s">
        <v>3547</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3538</v>
      </c>
      <c r="B18" s="1067" t="s">
        <v>266</v>
      </c>
      <c r="C18" s="1067" t="s">
        <v>267</v>
      </c>
      <c r="D18" s="1067" t="s">
        <v>260</v>
      </c>
      <c r="E18" s="1069">
        <v>20497.05</v>
      </c>
      <c r="F18" s="1065"/>
      <c r="G18" s="1067" t="s">
        <v>3539</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3521</v>
      </c>
      <c r="B19" s="1067" t="s">
        <v>278</v>
      </c>
      <c r="C19" s="1067" t="s">
        <v>267</v>
      </c>
      <c r="D19" s="1067" t="s">
        <v>260</v>
      </c>
      <c r="E19" s="1069">
        <v>28075.78</v>
      </c>
      <c r="F19" s="1069">
        <v>-23850</v>
      </c>
      <c r="G19" s="1067" t="s">
        <v>3522</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3532</v>
      </c>
      <c r="B20" s="1067" t="s">
        <v>275</v>
      </c>
      <c r="C20" s="1067" t="s">
        <v>267</v>
      </c>
      <c r="D20" s="1067" t="s">
        <v>260</v>
      </c>
      <c r="E20" s="1069">
        <v>26815.25</v>
      </c>
      <c r="F20" s="1065"/>
      <c r="G20" s="1067" t="s">
        <v>3533</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3582</v>
      </c>
      <c r="B21" s="1067" t="s">
        <v>268</v>
      </c>
      <c r="C21" s="1067" t="s">
        <v>267</v>
      </c>
      <c r="D21" s="1067" t="s">
        <v>260</v>
      </c>
      <c r="E21" s="1069">
        <v>28447.25</v>
      </c>
      <c r="F21" s="1069">
        <v>-24418.799999999999</v>
      </c>
      <c r="G21" s="1067" t="s">
        <v>3583</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3536</v>
      </c>
      <c r="B22" s="1067" t="s">
        <v>275</v>
      </c>
      <c r="C22" s="1067" t="s">
        <v>267</v>
      </c>
      <c r="D22" s="1067" t="s">
        <v>262</v>
      </c>
      <c r="E22" s="1069">
        <v>29352</v>
      </c>
      <c r="F22" s="1065"/>
      <c r="G22" s="1067" t="s">
        <v>3537</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3541</v>
      </c>
      <c r="B23" s="1067" t="s">
        <v>266</v>
      </c>
      <c r="C23" s="1067" t="s">
        <v>267</v>
      </c>
      <c r="D23" s="1067" t="s">
        <v>273</v>
      </c>
      <c r="E23" s="1069">
        <v>18787.5</v>
      </c>
      <c r="F23" s="1065"/>
      <c r="G23" s="1067" t="s">
        <v>3542</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3523</v>
      </c>
      <c r="B24" s="1067" t="s">
        <v>278</v>
      </c>
      <c r="C24" s="1067" t="s">
        <v>267</v>
      </c>
      <c r="D24" s="1067" t="s">
        <v>277</v>
      </c>
      <c r="E24" s="1069">
        <v>18043.82</v>
      </c>
      <c r="F24" s="1065"/>
      <c r="G24" s="1067" t="s">
        <v>3524</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3515</v>
      </c>
      <c r="B25" s="1067" t="s">
        <v>268</v>
      </c>
      <c r="C25" s="1067" t="s">
        <v>267</v>
      </c>
      <c r="D25" s="1067" t="s">
        <v>262</v>
      </c>
      <c r="E25" s="1069">
        <v>40209.65</v>
      </c>
      <c r="F25" s="1065"/>
      <c r="G25" s="1067" t="s">
        <v>3516</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3517</v>
      </c>
      <c r="B26" s="1067" t="s">
        <v>278</v>
      </c>
      <c r="C26" s="1067" t="s">
        <v>267</v>
      </c>
      <c r="D26" s="1067" t="s">
        <v>260</v>
      </c>
      <c r="E26" s="1069">
        <v>30620.3</v>
      </c>
      <c r="F26" s="1065"/>
      <c r="G26" s="1067" t="s">
        <v>3518</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3530</v>
      </c>
      <c r="B27" s="1067" t="s">
        <v>278</v>
      </c>
      <c r="C27" s="1067" t="s">
        <v>3473</v>
      </c>
      <c r="D27" s="1067" t="s">
        <v>3474</v>
      </c>
      <c r="E27" s="1069">
        <v>28211.38</v>
      </c>
      <c r="F27" s="1065"/>
      <c r="G27" s="1067" t="s">
        <v>3531</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3527</v>
      </c>
      <c r="B28" s="1067" t="s">
        <v>278</v>
      </c>
      <c r="C28" s="1067" t="s">
        <v>3434</v>
      </c>
      <c r="D28" s="1067" t="s">
        <v>3528</v>
      </c>
      <c r="E28" s="1069">
        <v>23550</v>
      </c>
      <c r="F28" s="1065"/>
      <c r="G28" s="1067" t="s">
        <v>3529</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3584</v>
      </c>
      <c r="B29" s="1067" t="s">
        <v>259</v>
      </c>
      <c r="C29" s="1067" t="s">
        <v>267</v>
      </c>
      <c r="D29" s="1067" t="s">
        <v>260</v>
      </c>
      <c r="E29" s="1069">
        <v>36524.6</v>
      </c>
      <c r="F29" s="1065"/>
      <c r="G29" s="1067" t="s">
        <v>3585</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3586</v>
      </c>
      <c r="B30" s="1067" t="s">
        <v>278</v>
      </c>
      <c r="C30" s="1067" t="s">
        <v>267</v>
      </c>
      <c r="D30" s="1067" t="s">
        <v>260</v>
      </c>
      <c r="E30" s="1069">
        <v>24346.21</v>
      </c>
      <c r="F30" s="1069">
        <v>-16047.88</v>
      </c>
      <c r="G30" s="1067" t="s">
        <v>3587</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3588</v>
      </c>
      <c r="B31" s="1067" t="s">
        <v>275</v>
      </c>
      <c r="C31" s="1067" t="s">
        <v>267</v>
      </c>
      <c r="D31" s="1067" t="s">
        <v>273</v>
      </c>
      <c r="E31" s="1069">
        <v>18530.25</v>
      </c>
      <c r="F31" s="1065"/>
      <c r="G31" s="1067" t="s">
        <v>3589</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3513</v>
      </c>
      <c r="B32" s="1067" t="s">
        <v>268</v>
      </c>
      <c r="C32" s="1067" t="s">
        <v>267</v>
      </c>
      <c r="D32" s="1067" t="s">
        <v>260</v>
      </c>
      <c r="E32" s="1069">
        <v>29670.31</v>
      </c>
      <c r="F32" s="1069">
        <v>-25505.1</v>
      </c>
      <c r="G32" s="1067" t="s">
        <v>3514</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3590</v>
      </c>
      <c r="B33" s="1067" t="s">
        <v>278</v>
      </c>
      <c r="C33" s="1067" t="s">
        <v>267</v>
      </c>
      <c r="D33" s="1067" t="s">
        <v>277</v>
      </c>
      <c r="E33" s="1069">
        <v>22965.200000000001</v>
      </c>
      <c r="F33" s="1065"/>
      <c r="G33" s="1067" t="s">
        <v>3591</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3751</v>
      </c>
      <c r="B34" s="1067" t="s">
        <v>268</v>
      </c>
      <c r="C34" s="1067" t="s">
        <v>267</v>
      </c>
      <c r="D34" s="1067" t="s">
        <v>260</v>
      </c>
      <c r="E34" s="1069">
        <v>31666.799999999999</v>
      </c>
      <c r="F34" s="1069">
        <v>-33046.589999999997</v>
      </c>
      <c r="G34" s="1067" t="s">
        <v>3752</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3592</v>
      </c>
      <c r="B35" s="1067" t="s">
        <v>275</v>
      </c>
      <c r="C35" s="1067" t="s">
        <v>267</v>
      </c>
      <c r="D35" s="1067" t="s">
        <v>260</v>
      </c>
      <c r="E35" s="1069">
        <v>24846.26</v>
      </c>
      <c r="F35" s="1065"/>
      <c r="G35" s="1067" t="s">
        <v>3593</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3594</v>
      </c>
      <c r="B36" s="1067" t="s">
        <v>278</v>
      </c>
      <c r="C36" s="1067" t="s">
        <v>267</v>
      </c>
      <c r="D36" s="1067" t="s">
        <v>277</v>
      </c>
      <c r="E36" s="1069">
        <v>19323.740000000002</v>
      </c>
      <c r="F36" s="1065"/>
      <c r="G36" s="1067" t="s">
        <v>3595</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3596</v>
      </c>
      <c r="B37" s="1067" t="s">
        <v>275</v>
      </c>
      <c r="C37" s="1067" t="s">
        <v>267</v>
      </c>
      <c r="D37" s="1067" t="s">
        <v>273</v>
      </c>
      <c r="E37" s="1069">
        <v>18294.75</v>
      </c>
      <c r="F37" s="1065"/>
      <c r="G37" s="1067" t="s">
        <v>3597</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3598</v>
      </c>
      <c r="B38" s="1067" t="s">
        <v>266</v>
      </c>
      <c r="C38" s="1067" t="s">
        <v>267</v>
      </c>
      <c r="D38" s="1067" t="s">
        <v>273</v>
      </c>
      <c r="E38" s="1069">
        <v>16745.3</v>
      </c>
      <c r="F38" s="1065"/>
      <c r="G38" s="1067" t="s">
        <v>3599</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3600</v>
      </c>
      <c r="B39" s="1067" t="s">
        <v>259</v>
      </c>
      <c r="C39" s="1067" t="s">
        <v>267</v>
      </c>
      <c r="D39" s="1067" t="s">
        <v>262</v>
      </c>
      <c r="E39" s="1069">
        <v>49927.29</v>
      </c>
      <c r="F39" s="1065"/>
      <c r="G39" s="1067" t="s">
        <v>3601</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3602</v>
      </c>
      <c r="B40" s="1067" t="s">
        <v>278</v>
      </c>
      <c r="C40" s="1067" t="s">
        <v>267</v>
      </c>
      <c r="D40" s="1067" t="s">
        <v>260</v>
      </c>
      <c r="E40" s="1069">
        <v>24483.1</v>
      </c>
      <c r="F40" s="1069">
        <v>-18876</v>
      </c>
      <c r="G40" s="1067" t="s">
        <v>3603</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3604</v>
      </c>
      <c r="B41" s="1067" t="s">
        <v>275</v>
      </c>
      <c r="C41" s="1067" t="s">
        <v>267</v>
      </c>
      <c r="D41" s="1067" t="s">
        <v>273</v>
      </c>
      <c r="E41" s="1069">
        <v>21779.599999999999</v>
      </c>
      <c r="F41" s="1065"/>
      <c r="G41" s="1067" t="s">
        <v>3605</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3606</v>
      </c>
      <c r="B42" s="1067" t="s">
        <v>268</v>
      </c>
      <c r="C42" s="1067" t="s">
        <v>267</v>
      </c>
      <c r="D42" s="1067" t="s">
        <v>273</v>
      </c>
      <c r="E42" s="1069">
        <v>21350</v>
      </c>
      <c r="F42" s="1065"/>
      <c r="G42" s="1067" t="s">
        <v>3607</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3608</v>
      </c>
      <c r="B43" s="1067" t="s">
        <v>275</v>
      </c>
      <c r="C43" s="1067" t="s">
        <v>267</v>
      </c>
      <c r="D43" s="1067" t="s">
        <v>277</v>
      </c>
      <c r="E43" s="1069">
        <v>17488.18</v>
      </c>
      <c r="F43" s="1065"/>
      <c r="G43" s="1067" t="s">
        <v>3609</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3610</v>
      </c>
      <c r="B44" s="1067" t="s">
        <v>278</v>
      </c>
      <c r="C44" s="1067" t="s">
        <v>267</v>
      </c>
      <c r="D44" s="1067" t="s">
        <v>277</v>
      </c>
      <c r="E44" s="1069">
        <v>18370.25</v>
      </c>
      <c r="F44" s="1065"/>
      <c r="G44" s="1067" t="s">
        <v>3611</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3612</v>
      </c>
      <c r="B45" s="1067" t="s">
        <v>266</v>
      </c>
      <c r="C45" s="1067" t="s">
        <v>267</v>
      </c>
      <c r="D45" s="1067" t="s">
        <v>260</v>
      </c>
      <c r="E45" s="1069">
        <v>20165.3</v>
      </c>
      <c r="F45" s="1065"/>
      <c r="G45" s="1067" t="s">
        <v>3613</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3753</v>
      </c>
      <c r="B46" s="1067" t="s">
        <v>3340</v>
      </c>
      <c r="C46" s="1067" t="s">
        <v>3473</v>
      </c>
      <c r="D46" s="1067" t="s">
        <v>3754</v>
      </c>
      <c r="E46" s="1069">
        <v>15050</v>
      </c>
      <c r="F46" s="1065"/>
      <c r="G46" s="1067" t="s">
        <v>3755</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3614</v>
      </c>
      <c r="B47" s="1067" t="s">
        <v>278</v>
      </c>
      <c r="C47" s="1067" t="s">
        <v>267</v>
      </c>
      <c r="D47" s="1067" t="s">
        <v>277</v>
      </c>
      <c r="E47" s="1069">
        <v>21360.2</v>
      </c>
      <c r="F47" s="1065"/>
      <c r="G47" s="1067" t="s">
        <v>3615</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3616</v>
      </c>
      <c r="B48" s="1067" t="s">
        <v>268</v>
      </c>
      <c r="C48" s="1067" t="s">
        <v>267</v>
      </c>
      <c r="D48" s="1067" t="s">
        <v>277</v>
      </c>
      <c r="E48" s="1069">
        <v>25003.85</v>
      </c>
      <c r="F48" s="1069">
        <v>-21330</v>
      </c>
      <c r="G48" s="1067" t="s">
        <v>3617</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3618</v>
      </c>
      <c r="B49" s="1067" t="s">
        <v>278</v>
      </c>
      <c r="C49" s="1067" t="s">
        <v>267</v>
      </c>
      <c r="D49" s="1067" t="s">
        <v>260</v>
      </c>
      <c r="E49" s="1069">
        <v>24894.97</v>
      </c>
      <c r="F49" s="1065"/>
      <c r="G49" s="1067" t="s">
        <v>3619</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3620</v>
      </c>
      <c r="B50" s="1067" t="s">
        <v>275</v>
      </c>
      <c r="C50" s="1067" t="s">
        <v>267</v>
      </c>
      <c r="D50" s="1067" t="s">
        <v>260</v>
      </c>
      <c r="E50" s="1069">
        <v>27870.3</v>
      </c>
      <c r="F50" s="1065"/>
      <c r="G50" s="1067" t="s">
        <v>3621</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3622</v>
      </c>
      <c r="B51" s="1067" t="s">
        <v>268</v>
      </c>
      <c r="C51" s="1067" t="s">
        <v>267</v>
      </c>
      <c r="D51" s="1067" t="s">
        <v>277</v>
      </c>
      <c r="E51" s="1069">
        <v>24530.400000000001</v>
      </c>
      <c r="F51" s="1065"/>
      <c r="G51" s="1067" t="s">
        <v>3623</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3624</v>
      </c>
      <c r="B52" s="1067" t="s">
        <v>3625</v>
      </c>
      <c r="C52" s="1067" t="s">
        <v>267</v>
      </c>
      <c r="D52" s="1067" t="s">
        <v>3626</v>
      </c>
      <c r="E52" s="1069">
        <v>4314.03</v>
      </c>
      <c r="F52" s="1065"/>
      <c r="G52" s="1067" t="s">
        <v>3627</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3630</v>
      </c>
      <c r="B53" s="1067" t="s">
        <v>268</v>
      </c>
      <c r="C53" s="1067" t="s">
        <v>267</v>
      </c>
      <c r="D53" s="1067" t="s">
        <v>277</v>
      </c>
      <c r="E53" s="1069">
        <v>24447.5</v>
      </c>
      <c r="F53" s="1065"/>
      <c r="G53" s="1067" t="s">
        <v>3631</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3632</v>
      </c>
      <c r="B54" s="1067" t="s">
        <v>275</v>
      </c>
      <c r="C54" s="1067" t="s">
        <v>267</v>
      </c>
      <c r="D54" s="1067" t="s">
        <v>273</v>
      </c>
      <c r="E54" s="1069">
        <v>20373.45</v>
      </c>
      <c r="F54" s="1069">
        <v>-12553.38</v>
      </c>
      <c r="G54" s="1067" t="s">
        <v>3633</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3638</v>
      </c>
      <c r="B55" s="1067" t="s">
        <v>268</v>
      </c>
      <c r="C55" s="1067" t="s">
        <v>267</v>
      </c>
      <c r="D55" s="1067" t="s">
        <v>279</v>
      </c>
      <c r="E55" s="1069">
        <v>32388.2</v>
      </c>
      <c r="F55" s="1065"/>
      <c r="G55" s="1067" t="s">
        <v>3639</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3642</v>
      </c>
      <c r="B56" s="1067" t="s">
        <v>278</v>
      </c>
      <c r="C56" s="1067" t="s">
        <v>267</v>
      </c>
      <c r="D56" s="1067" t="s">
        <v>3643</v>
      </c>
      <c r="E56" s="1069">
        <v>23491.599999999999</v>
      </c>
      <c r="F56" s="1065"/>
      <c r="G56" s="1067" t="s">
        <v>3644</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3645</v>
      </c>
      <c r="B57" s="1067" t="s">
        <v>268</v>
      </c>
      <c r="C57" s="1067" t="s">
        <v>267</v>
      </c>
      <c r="D57" s="1067" t="s">
        <v>260</v>
      </c>
      <c r="E57" s="1069">
        <v>29343.25</v>
      </c>
      <c r="F57" s="1065"/>
      <c r="G57" s="1067" t="s">
        <v>3646</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3647</v>
      </c>
      <c r="B58" s="1067" t="s">
        <v>278</v>
      </c>
      <c r="C58" s="1067" t="s">
        <v>267</v>
      </c>
      <c r="D58" s="1067" t="s">
        <v>260</v>
      </c>
      <c r="E58" s="1069">
        <v>29950</v>
      </c>
      <c r="F58" s="1065"/>
      <c r="G58" s="1067" t="s">
        <v>3648</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3649</v>
      </c>
      <c r="B59" s="1067" t="s">
        <v>275</v>
      </c>
      <c r="C59" s="1067" t="s">
        <v>267</v>
      </c>
      <c r="D59" s="1067" t="s">
        <v>260</v>
      </c>
      <c r="E59" s="1069">
        <v>21448.99</v>
      </c>
      <c r="F59" s="1069">
        <v>-18000</v>
      </c>
      <c r="G59" s="1067" t="s">
        <v>3650</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3651</v>
      </c>
      <c r="B60" s="1067" t="s">
        <v>275</v>
      </c>
      <c r="C60" s="1067" t="s">
        <v>267</v>
      </c>
      <c r="D60" s="1067" t="s">
        <v>3540</v>
      </c>
      <c r="E60" s="1069">
        <v>23680.2</v>
      </c>
      <c r="F60" s="1065"/>
      <c r="G60" s="1067" t="s">
        <v>3652</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3653</v>
      </c>
      <c r="B61" s="1067" t="s">
        <v>275</v>
      </c>
      <c r="C61" s="1067" t="s">
        <v>267</v>
      </c>
      <c r="D61" s="1067" t="s">
        <v>273</v>
      </c>
      <c r="E61" s="1069">
        <v>19433.849999999999</v>
      </c>
      <c r="F61" s="1065"/>
      <c r="G61" s="1067" t="s">
        <v>3654</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3655</v>
      </c>
      <c r="B62" s="1067" t="s">
        <v>275</v>
      </c>
      <c r="C62" s="1067" t="s">
        <v>3434</v>
      </c>
      <c r="D62" s="1067" t="s">
        <v>3528</v>
      </c>
      <c r="E62" s="1069">
        <v>17516.849999999999</v>
      </c>
      <c r="F62" s="1065"/>
      <c r="G62" s="1067" t="s">
        <v>3656</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3636</v>
      </c>
      <c r="B63" s="1067" t="s">
        <v>268</v>
      </c>
      <c r="C63" s="1067" t="s">
        <v>267</v>
      </c>
      <c r="D63" s="1067" t="s">
        <v>260</v>
      </c>
      <c r="E63" s="1069">
        <v>28418.09</v>
      </c>
      <c r="F63" s="1065"/>
      <c r="G63" s="1067" t="s">
        <v>3637</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3640</v>
      </c>
      <c r="B64" s="1067" t="s">
        <v>278</v>
      </c>
      <c r="C64" s="1067" t="s">
        <v>267</v>
      </c>
      <c r="D64" s="1067" t="s">
        <v>260</v>
      </c>
      <c r="E64" s="1069">
        <v>26650</v>
      </c>
      <c r="F64" s="1065"/>
      <c r="G64" s="1067" t="s">
        <v>3641</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3756</v>
      </c>
      <c r="B65" s="1067" t="s">
        <v>275</v>
      </c>
      <c r="C65" s="1067" t="s">
        <v>267</v>
      </c>
      <c r="D65" s="1067" t="s">
        <v>260</v>
      </c>
      <c r="E65" s="1069">
        <v>22943.200000000001</v>
      </c>
      <c r="F65" s="1069">
        <v>-14910</v>
      </c>
      <c r="G65" s="1067" t="s">
        <v>3757</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3758</v>
      </c>
      <c r="B66" s="1067" t="s">
        <v>3439</v>
      </c>
      <c r="C66" s="1067" t="s">
        <v>267</v>
      </c>
      <c r="D66" s="1067" t="s">
        <v>3573</v>
      </c>
      <c r="E66" s="1069">
        <v>56282.9</v>
      </c>
      <c r="F66" s="1069">
        <v>-53444.44</v>
      </c>
      <c r="G66" s="1067" t="s">
        <v>3759</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3760</v>
      </c>
      <c r="B67" s="1067" t="s">
        <v>264</v>
      </c>
      <c r="C67" s="1067" t="s">
        <v>267</v>
      </c>
      <c r="D67" s="1067" t="s">
        <v>260</v>
      </c>
      <c r="E67" s="1069">
        <v>37343.25</v>
      </c>
      <c r="F67" s="1069">
        <v>-31500</v>
      </c>
      <c r="G67" s="1067" t="s">
        <v>3761</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3762</v>
      </c>
      <c r="B68" s="1067" t="s">
        <v>268</v>
      </c>
      <c r="C68" s="1067" t="s">
        <v>267</v>
      </c>
      <c r="D68" s="1067" t="s">
        <v>260</v>
      </c>
      <c r="E68" s="1069">
        <v>27555.439999999999</v>
      </c>
      <c r="F68" s="1069">
        <v>-26142.19</v>
      </c>
      <c r="G68" s="1067" t="s">
        <v>3763</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3628</v>
      </c>
      <c r="B69" s="1067" t="s">
        <v>275</v>
      </c>
      <c r="C69" s="1067" t="s">
        <v>267</v>
      </c>
      <c r="D69" s="1067" t="s">
        <v>277</v>
      </c>
      <c r="E69" s="1069">
        <v>15050</v>
      </c>
      <c r="F69" s="1065"/>
      <c r="G69" s="1067" t="s">
        <v>3629</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3764</v>
      </c>
      <c r="B70" s="1067" t="s">
        <v>278</v>
      </c>
      <c r="C70" s="1067" t="s">
        <v>267</v>
      </c>
      <c r="D70" s="1067" t="s">
        <v>282</v>
      </c>
      <c r="E70" s="1069">
        <v>24148.3</v>
      </c>
      <c r="F70" s="1069">
        <v>-13011</v>
      </c>
      <c r="G70" s="1067" t="s">
        <v>3765</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3766</v>
      </c>
      <c r="B71" s="1067" t="s">
        <v>280</v>
      </c>
      <c r="C71" s="1067" t="s">
        <v>267</v>
      </c>
      <c r="D71" s="1067" t="s">
        <v>260</v>
      </c>
      <c r="E71" s="1069">
        <v>17323.25</v>
      </c>
      <c r="F71" s="1069">
        <v>-14400</v>
      </c>
      <c r="G71" s="1067" t="s">
        <v>3767</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3768</v>
      </c>
      <c r="B72" s="1067" t="s">
        <v>278</v>
      </c>
      <c r="C72" s="1067" t="s">
        <v>267</v>
      </c>
      <c r="D72" s="1067" t="s">
        <v>260</v>
      </c>
      <c r="E72" s="1069">
        <v>24729.89</v>
      </c>
      <c r="F72" s="1069">
        <v>-21121.07</v>
      </c>
      <c r="G72" s="1067" t="s">
        <v>3769</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3770</v>
      </c>
      <c r="B73" s="1067" t="s">
        <v>264</v>
      </c>
      <c r="C73" s="1067" t="s">
        <v>3635</v>
      </c>
      <c r="D73" s="1067" t="s">
        <v>3771</v>
      </c>
      <c r="E73" s="1069">
        <v>39801.279999999999</v>
      </c>
      <c r="F73" s="1065"/>
      <c r="G73" s="1067" t="s">
        <v>3772</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3773</v>
      </c>
      <c r="B74" s="1067" t="s">
        <v>278</v>
      </c>
      <c r="C74" s="1067" t="s">
        <v>267</v>
      </c>
      <c r="D74" s="1067" t="s">
        <v>260</v>
      </c>
      <c r="E74" s="1069">
        <v>27897</v>
      </c>
      <c r="F74" s="1069">
        <v>-21259.15</v>
      </c>
      <c r="G74" s="1067" t="s">
        <v>3774</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3775</v>
      </c>
      <c r="B75" s="1067" t="s">
        <v>268</v>
      </c>
      <c r="C75" s="1067" t="s">
        <v>267</v>
      </c>
      <c r="D75" s="1067" t="s">
        <v>260</v>
      </c>
      <c r="E75" s="1069">
        <v>29849.7</v>
      </c>
      <c r="F75" s="1069">
        <v>-25650</v>
      </c>
      <c r="G75" s="1067" t="s">
        <v>3776</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3777</v>
      </c>
      <c r="B76" s="1067" t="s">
        <v>268</v>
      </c>
      <c r="C76" s="1067" t="s">
        <v>267</v>
      </c>
      <c r="D76" s="1067" t="s">
        <v>277</v>
      </c>
      <c r="E76" s="1069">
        <v>22734.85</v>
      </c>
      <c r="F76" s="1065"/>
      <c r="G76" s="1067" t="s">
        <v>3778</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3779</v>
      </c>
      <c r="B77" s="1067" t="s">
        <v>278</v>
      </c>
      <c r="C77" s="1067" t="s">
        <v>267</v>
      </c>
      <c r="D77" s="1067" t="s">
        <v>260</v>
      </c>
      <c r="E77" s="1069">
        <v>23937.85</v>
      </c>
      <c r="F77" s="1065"/>
      <c r="G77" s="1067" t="s">
        <v>3780</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3781</v>
      </c>
      <c r="B78" s="1067" t="s">
        <v>278</v>
      </c>
      <c r="C78" s="1067" t="s">
        <v>3782</v>
      </c>
      <c r="D78" s="1067" t="s">
        <v>3783</v>
      </c>
      <c r="E78" s="1069">
        <v>37860.379999999997</v>
      </c>
      <c r="F78" s="1065"/>
      <c r="G78" s="1067" t="s">
        <v>3784</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3785</v>
      </c>
      <c r="B79" s="1067" t="s">
        <v>275</v>
      </c>
      <c r="C79" s="1067" t="s">
        <v>267</v>
      </c>
      <c r="D79" s="1067" t="s">
        <v>273</v>
      </c>
      <c r="E79" s="1069">
        <v>17250</v>
      </c>
      <c r="F79" s="1069">
        <v>-10994</v>
      </c>
      <c r="G79" s="1067" t="s">
        <v>3786</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3787</v>
      </c>
      <c r="B80" s="1067" t="s">
        <v>3340</v>
      </c>
      <c r="C80" s="1067" t="s">
        <v>267</v>
      </c>
      <c r="D80" s="1067" t="s">
        <v>265</v>
      </c>
      <c r="E80" s="1069">
        <v>9050</v>
      </c>
      <c r="F80" s="1065"/>
      <c r="G80" s="1067" t="s">
        <v>3788</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3789</v>
      </c>
      <c r="B81" s="1067" t="s">
        <v>3549</v>
      </c>
      <c r="C81" s="1067" t="s">
        <v>3434</v>
      </c>
      <c r="D81" s="1067" t="s">
        <v>3790</v>
      </c>
      <c r="E81" s="1069">
        <v>10550</v>
      </c>
      <c r="F81" s="1065"/>
      <c r="G81" s="1067" t="s">
        <v>3791</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3792</v>
      </c>
      <c r="B82" s="1067" t="s">
        <v>259</v>
      </c>
      <c r="C82" s="1067" t="s">
        <v>267</v>
      </c>
      <c r="D82" s="1067" t="s">
        <v>3573</v>
      </c>
      <c r="E82" s="1069">
        <v>48197.8</v>
      </c>
      <c r="F82" s="1069">
        <v>-42300</v>
      </c>
      <c r="G82" s="1067" t="s">
        <v>3793</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3794</v>
      </c>
      <c r="B83" s="1067" t="s">
        <v>275</v>
      </c>
      <c r="C83" s="1067" t="s">
        <v>267</v>
      </c>
      <c r="D83" s="1067" t="s">
        <v>277</v>
      </c>
      <c r="E83" s="1069">
        <v>21402.85</v>
      </c>
      <c r="F83" s="1065"/>
      <c r="G83" s="1067" t="s">
        <v>3795</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3796</v>
      </c>
      <c r="B84" s="1067" t="s">
        <v>275</v>
      </c>
      <c r="C84" s="1067" t="s">
        <v>267</v>
      </c>
      <c r="D84" s="1067" t="s">
        <v>273</v>
      </c>
      <c r="E84" s="1069">
        <v>18179.95</v>
      </c>
      <c r="F84" s="1065"/>
      <c r="G84" s="1067" t="s">
        <v>3797</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3798</v>
      </c>
      <c r="B85" s="1067" t="s">
        <v>3472</v>
      </c>
      <c r="C85" s="1067" t="s">
        <v>3799</v>
      </c>
      <c r="D85" s="1067" t="s">
        <v>3800</v>
      </c>
      <c r="E85" s="1069">
        <v>22550</v>
      </c>
      <c r="F85" s="1065"/>
      <c r="G85" s="1067" t="s">
        <v>3801</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3802</v>
      </c>
      <c r="B86" s="1067" t="s">
        <v>3443</v>
      </c>
      <c r="C86" s="1067" t="s">
        <v>3432</v>
      </c>
      <c r="D86" s="1067" t="s">
        <v>3803</v>
      </c>
      <c r="E86" s="1069">
        <v>5450</v>
      </c>
      <c r="F86" s="1065"/>
      <c r="G86" s="1067" t="s">
        <v>3804</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3805</v>
      </c>
      <c r="B87" s="1067" t="s">
        <v>275</v>
      </c>
      <c r="C87" s="1067" t="s">
        <v>267</v>
      </c>
      <c r="D87" s="1067" t="s">
        <v>260</v>
      </c>
      <c r="E87" s="1069">
        <v>20650</v>
      </c>
      <c r="F87" s="1065"/>
      <c r="G87" s="1067" t="s">
        <v>3806</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3807</v>
      </c>
      <c r="B88" s="1067" t="s">
        <v>3340</v>
      </c>
      <c r="C88" s="1067" t="s">
        <v>267</v>
      </c>
      <c r="D88" s="1067" t="s">
        <v>260</v>
      </c>
      <c r="E88" s="1069">
        <v>8550</v>
      </c>
      <c r="F88" s="1065"/>
      <c r="G88" s="1067" t="s">
        <v>3808</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3809</v>
      </c>
      <c r="B89" s="1067" t="s">
        <v>278</v>
      </c>
      <c r="C89" s="1067" t="s">
        <v>267</v>
      </c>
      <c r="D89" s="1067" t="s">
        <v>260</v>
      </c>
      <c r="E89" s="1069">
        <v>25550</v>
      </c>
      <c r="F89" s="1065"/>
      <c r="G89" s="1067" t="s">
        <v>3810</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3811</v>
      </c>
      <c r="B90" s="1067" t="s">
        <v>278</v>
      </c>
      <c r="C90" s="1067" t="s">
        <v>3433</v>
      </c>
      <c r="D90" s="1067" t="s">
        <v>3812</v>
      </c>
      <c r="E90" s="1069">
        <v>28550</v>
      </c>
      <c r="F90" s="1065"/>
      <c r="G90" s="1067" t="s">
        <v>3813</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3814</v>
      </c>
      <c r="B91" s="1067" t="s">
        <v>275</v>
      </c>
      <c r="C91" s="1067" t="s">
        <v>267</v>
      </c>
      <c r="D91" s="1067" t="s">
        <v>273</v>
      </c>
      <c r="E91" s="1069">
        <v>17050</v>
      </c>
      <c r="F91" s="1065"/>
      <c r="G91" s="1067" t="s">
        <v>3815</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3816</v>
      </c>
      <c r="B92" s="1067" t="s">
        <v>259</v>
      </c>
      <c r="C92" s="1067" t="s">
        <v>267</v>
      </c>
      <c r="D92" s="1067" t="s">
        <v>260</v>
      </c>
      <c r="E92" s="1069">
        <v>31300</v>
      </c>
      <c r="F92" s="1065"/>
      <c r="G92" s="1067" t="s">
        <v>3817</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3818</v>
      </c>
      <c r="B93" s="1067" t="s">
        <v>264</v>
      </c>
      <c r="C93" s="1067" t="s">
        <v>267</v>
      </c>
      <c r="D93" s="1067" t="s">
        <v>262</v>
      </c>
      <c r="E93" s="1069">
        <v>47388.75</v>
      </c>
      <c r="F93" s="1065"/>
      <c r="G93" s="1067" t="s">
        <v>3819</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3820</v>
      </c>
      <c r="B94" s="1067" t="s">
        <v>268</v>
      </c>
      <c r="C94" s="1067" t="s">
        <v>267</v>
      </c>
      <c r="D94" s="1067" t="s">
        <v>277</v>
      </c>
      <c r="E94" s="1069">
        <v>24050</v>
      </c>
      <c r="F94" s="1065"/>
      <c r="G94" s="1067" t="s">
        <v>3821</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3822</v>
      </c>
      <c r="B95" s="1067" t="s">
        <v>278</v>
      </c>
      <c r="C95" s="1067" t="s">
        <v>267</v>
      </c>
      <c r="D95" s="1067" t="s">
        <v>260</v>
      </c>
      <c r="E95" s="1069">
        <v>29837.9</v>
      </c>
      <c r="F95" s="1065"/>
      <c r="G95" s="1067" t="s">
        <v>3823</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3824</v>
      </c>
      <c r="B96" s="1067" t="s">
        <v>278</v>
      </c>
      <c r="C96" s="1067" t="s">
        <v>267</v>
      </c>
      <c r="D96" s="1067" t="s">
        <v>277</v>
      </c>
      <c r="E96" s="1069">
        <v>18250</v>
      </c>
      <c r="F96" s="1065"/>
      <c r="G96" s="1067" t="s">
        <v>3825</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3826</v>
      </c>
      <c r="B97" s="1067" t="s">
        <v>268</v>
      </c>
      <c r="C97" s="1067" t="s">
        <v>267</v>
      </c>
      <c r="D97" s="1067" t="s">
        <v>260</v>
      </c>
      <c r="E97" s="1069">
        <v>24300</v>
      </c>
      <c r="F97" s="1065"/>
      <c r="G97" s="1067" t="s">
        <v>3827</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3828</v>
      </c>
      <c r="B98" s="1067" t="s">
        <v>278</v>
      </c>
      <c r="C98" s="1067" t="s">
        <v>267</v>
      </c>
      <c r="D98" s="1067" t="s">
        <v>277</v>
      </c>
      <c r="E98" s="1069">
        <v>16550</v>
      </c>
      <c r="F98" s="1065"/>
      <c r="G98" s="1067" t="s">
        <v>3829</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3830</v>
      </c>
      <c r="B99" s="1067" t="s">
        <v>278</v>
      </c>
      <c r="C99" s="1067" t="s">
        <v>3351</v>
      </c>
      <c r="D99" s="1067" t="s">
        <v>3831</v>
      </c>
      <c r="E99" s="1069">
        <v>53050</v>
      </c>
      <c r="F99" s="1065"/>
      <c r="G99" s="1067" t="s">
        <v>3832</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3833</v>
      </c>
      <c r="B100" s="1067" t="s">
        <v>280</v>
      </c>
      <c r="C100" s="1067" t="s">
        <v>3834</v>
      </c>
      <c r="D100" s="1067" t="s">
        <v>3835</v>
      </c>
      <c r="E100" s="1069">
        <v>10300</v>
      </c>
      <c r="F100" s="1065"/>
      <c r="G100" s="1067" t="s">
        <v>3836</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3837</v>
      </c>
      <c r="B101" s="1067" t="s">
        <v>3634</v>
      </c>
      <c r="C101" s="1067" t="s">
        <v>267</v>
      </c>
      <c r="D101" s="1067" t="s">
        <v>3643</v>
      </c>
      <c r="E101" s="1069">
        <v>2550</v>
      </c>
      <c r="F101" s="1065"/>
      <c r="G101" s="1067" t="s">
        <v>3838</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3839</v>
      </c>
      <c r="B102" s="1067" t="s">
        <v>3634</v>
      </c>
      <c r="C102" s="1067" t="s">
        <v>3465</v>
      </c>
      <c r="D102" s="1067" t="s">
        <v>3840</v>
      </c>
      <c r="E102" s="1069">
        <v>2300</v>
      </c>
      <c r="F102" s="1065"/>
      <c r="G102" s="1067" t="s">
        <v>3841</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3842</v>
      </c>
      <c r="B103" s="1067" t="s">
        <v>264</v>
      </c>
      <c r="C103" s="1067" t="s">
        <v>267</v>
      </c>
      <c r="D103" s="1067" t="s">
        <v>260</v>
      </c>
      <c r="E103" s="1069">
        <v>36050</v>
      </c>
      <c r="F103" s="1065"/>
      <c r="G103" s="1067" t="s">
        <v>3843</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3844</v>
      </c>
      <c r="B104" s="1067" t="s">
        <v>259</v>
      </c>
      <c r="C104" s="1067" t="s">
        <v>267</v>
      </c>
      <c r="D104" s="1067" t="s">
        <v>260</v>
      </c>
      <c r="E104" s="1069">
        <v>33550</v>
      </c>
      <c r="F104" s="1065"/>
      <c r="G104" s="1067" t="s">
        <v>3845</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3846</v>
      </c>
      <c r="B105" s="1067" t="s">
        <v>259</v>
      </c>
      <c r="C105" s="1067" t="s">
        <v>3543</v>
      </c>
      <c r="D105" s="1067" t="s">
        <v>3847</v>
      </c>
      <c r="E105" s="1069">
        <v>20750</v>
      </c>
      <c r="F105" s="1065"/>
      <c r="G105" s="1067" t="s">
        <v>3848</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3849</v>
      </c>
      <c r="B106" s="1067" t="s">
        <v>268</v>
      </c>
      <c r="C106" s="1067" t="s">
        <v>267</v>
      </c>
      <c r="D106" s="1067" t="s">
        <v>260</v>
      </c>
      <c r="E106" s="1069">
        <v>26050</v>
      </c>
      <c r="F106" s="1065"/>
      <c r="G106" s="1067" t="s">
        <v>3850</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3851</v>
      </c>
      <c r="B107" s="1067" t="s">
        <v>268</v>
      </c>
      <c r="C107" s="1067" t="s">
        <v>3543</v>
      </c>
      <c r="D107" s="1067" t="s">
        <v>3544</v>
      </c>
      <c r="E107" s="1069">
        <v>29050</v>
      </c>
      <c r="F107" s="1065"/>
      <c r="G107" s="1067" t="s">
        <v>3852</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3853</v>
      </c>
      <c r="B108" s="1067" t="s">
        <v>275</v>
      </c>
      <c r="C108" s="1067" t="s">
        <v>3469</v>
      </c>
      <c r="D108" s="1067" t="s">
        <v>3854</v>
      </c>
      <c r="E108" s="1069">
        <v>35550</v>
      </c>
      <c r="F108" s="1065"/>
      <c r="G108" s="1067" t="s">
        <v>3855</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3856</v>
      </c>
      <c r="B109" s="1067" t="s">
        <v>3340</v>
      </c>
      <c r="C109" s="1067" t="s">
        <v>267</v>
      </c>
      <c r="D109" s="1067" t="s">
        <v>265</v>
      </c>
      <c r="E109" s="1069">
        <v>4050</v>
      </c>
      <c r="F109" s="1065"/>
      <c r="G109" s="1067" t="s">
        <v>3857</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3409</v>
      </c>
      <c r="B113" s="1049" t="s">
        <v>275</v>
      </c>
      <c r="C113" s="1049" t="s">
        <v>3410</v>
      </c>
      <c r="D113" s="1049" t="s">
        <v>3657</v>
      </c>
      <c r="E113" s="1047">
        <v>36739.79</v>
      </c>
      <c r="F113" s="1046"/>
      <c r="G113" s="1049" t="s">
        <v>3411</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3444</v>
      </c>
      <c r="B114" s="1049" t="s">
        <v>3443</v>
      </c>
      <c r="C114" s="1049" t="s">
        <v>267</v>
      </c>
      <c r="D114" s="1049" t="s">
        <v>1411</v>
      </c>
      <c r="E114" s="1047">
        <v>11948.62</v>
      </c>
      <c r="F114" s="1046"/>
      <c r="G114" s="1049" t="s">
        <v>3445</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sortState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3437</v>
      </c>
      <c r="B2" s="1058" t="s">
        <v>264</v>
      </c>
      <c r="C2" s="1058" t="s">
        <v>267</v>
      </c>
      <c r="D2" s="1058" t="s">
        <v>265</v>
      </c>
      <c r="E2" s="1060">
        <v>33666.97</v>
      </c>
      <c r="F2" s="1060">
        <v>-31504.85</v>
      </c>
      <c r="G2" s="1058" t="s">
        <v>3438</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3435</v>
      </c>
      <c r="B3" s="1058" t="s">
        <v>3439</v>
      </c>
      <c r="C3" s="1058" t="s">
        <v>267</v>
      </c>
      <c r="D3" s="1058" t="s">
        <v>262</v>
      </c>
      <c r="E3" s="1060">
        <v>56706.1</v>
      </c>
      <c r="F3" s="1060">
        <v>-57628.2</v>
      </c>
      <c r="G3" s="1058" t="s">
        <v>3436</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3456</v>
      </c>
      <c r="B4" s="1058" t="s">
        <v>264</v>
      </c>
      <c r="C4" s="1058" t="s">
        <v>267</v>
      </c>
      <c r="D4" s="1058" t="s">
        <v>265</v>
      </c>
      <c r="E4" s="1060">
        <v>31163.98</v>
      </c>
      <c r="F4" s="1060">
        <v>-32628.75</v>
      </c>
      <c r="G4" s="1058" t="s">
        <v>3457</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3454</v>
      </c>
      <c r="B5" s="1058" t="s">
        <v>264</v>
      </c>
      <c r="C5" s="1058" t="s">
        <v>267</v>
      </c>
      <c r="D5" s="1058" t="s">
        <v>976</v>
      </c>
      <c r="E5" s="1060">
        <v>38081.07</v>
      </c>
      <c r="F5" s="1060">
        <v>-39936.75</v>
      </c>
      <c r="G5" s="1058" t="s">
        <v>3455</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3450</v>
      </c>
      <c r="B6" s="1058" t="s">
        <v>3439</v>
      </c>
      <c r="C6" s="1058" t="s">
        <v>267</v>
      </c>
      <c r="D6" s="1058" t="s">
        <v>262</v>
      </c>
      <c r="E6" s="1060">
        <v>50511.98</v>
      </c>
      <c r="F6" s="1060">
        <v>-51427.95</v>
      </c>
      <c r="G6" s="1058" t="s">
        <v>3451</v>
      </c>
      <c r="H6" s="1055">
        <v>108</v>
      </c>
      <c r="I6" s="138"/>
      <c r="J6" s="138"/>
      <c r="K6" s="139" t="s">
        <v>3319</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3448</v>
      </c>
      <c r="B7" s="1058" t="s">
        <v>3439</v>
      </c>
      <c r="C7" s="1058" t="s">
        <v>267</v>
      </c>
      <c r="D7" s="1058" t="s">
        <v>3458</v>
      </c>
      <c r="E7" s="1060">
        <v>54659.17</v>
      </c>
      <c r="F7" s="1060">
        <v>-57051.75</v>
      </c>
      <c r="G7" s="1058" t="s">
        <v>3449</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3452</v>
      </c>
      <c r="B8" s="1058" t="s">
        <v>3439</v>
      </c>
      <c r="C8" s="1058" t="s">
        <v>267</v>
      </c>
      <c r="D8" s="1058" t="s">
        <v>3458</v>
      </c>
      <c r="E8" s="1060">
        <v>48328.17</v>
      </c>
      <c r="F8" s="1060">
        <v>-51136.05</v>
      </c>
      <c r="G8" s="1058" t="s">
        <v>3453</v>
      </c>
      <c r="H8" s="1055">
        <v>97</v>
      </c>
      <c r="I8" s="138"/>
      <c r="J8" s="138"/>
      <c r="K8" s="138"/>
      <c r="L8" s="4"/>
      <c r="M8" s="144"/>
      <c r="N8" s="138"/>
      <c r="O8" s="138"/>
      <c r="P8" s="138"/>
      <c r="Q8" s="138"/>
      <c r="R8" s="138"/>
      <c r="S8" s="138"/>
      <c r="T8" s="138"/>
      <c r="U8" s="138"/>
      <c r="V8" s="138"/>
      <c r="W8" s="138"/>
      <c r="X8" s="138"/>
      <c r="Y8" s="138"/>
      <c r="Z8" s="138"/>
    </row>
    <row r="9" spans="1:26" ht="14.25" customHeight="1">
      <c r="A9" s="1058" t="s">
        <v>3446</v>
      </c>
      <c r="B9" s="1058" t="s">
        <v>3439</v>
      </c>
      <c r="C9" s="1058" t="s">
        <v>267</v>
      </c>
      <c r="D9" s="1058" t="s">
        <v>3458</v>
      </c>
      <c r="E9" s="1060">
        <v>57229.1</v>
      </c>
      <c r="F9" s="1056"/>
      <c r="G9" s="1058" t="s">
        <v>3447</v>
      </c>
      <c r="H9" s="1055">
        <v>93</v>
      </c>
      <c r="I9" s="138"/>
      <c r="J9" s="138"/>
      <c r="K9" s="139" t="s">
        <v>3343</v>
      </c>
      <c r="L9" s="1004">
        <v>0</v>
      </c>
      <c r="M9" s="1004">
        <v>0</v>
      </c>
      <c r="N9" s="138"/>
      <c r="O9" s="138"/>
      <c r="P9" s="138"/>
      <c r="Q9" s="138"/>
      <c r="R9" s="138"/>
      <c r="S9" s="138"/>
      <c r="T9" s="138"/>
      <c r="U9" s="138"/>
      <c r="V9" s="138"/>
      <c r="W9" s="138"/>
      <c r="X9" s="138"/>
      <c r="Y9" s="138"/>
      <c r="Z9" s="138"/>
    </row>
    <row r="10" spans="1:26" ht="14.25" customHeight="1">
      <c r="A10" s="1058" t="s">
        <v>3481</v>
      </c>
      <c r="B10" s="1058" t="s">
        <v>3439</v>
      </c>
      <c r="C10" s="1058" t="s">
        <v>267</v>
      </c>
      <c r="D10" s="1058" t="s">
        <v>262</v>
      </c>
      <c r="E10" s="1060">
        <v>58141.01</v>
      </c>
      <c r="F10" s="1056"/>
      <c r="G10" s="1058" t="s">
        <v>3482</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3485</v>
      </c>
      <c r="B11" s="1058" t="s">
        <v>3439</v>
      </c>
      <c r="C11" s="1058" t="s">
        <v>267</v>
      </c>
      <c r="D11" s="1058" t="s">
        <v>262</v>
      </c>
      <c r="E11" s="1060">
        <v>48171.23</v>
      </c>
      <c r="F11" s="1056"/>
      <c r="G11" s="1058" t="s">
        <v>3486</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3495</v>
      </c>
      <c r="B12" s="1058" t="s">
        <v>3439</v>
      </c>
      <c r="C12" s="1058" t="s">
        <v>267</v>
      </c>
      <c r="D12" s="1058" t="s">
        <v>3458</v>
      </c>
      <c r="E12" s="1060">
        <v>56292.01</v>
      </c>
      <c r="F12" s="1060">
        <v>-57051.75</v>
      </c>
      <c r="G12" s="1058" t="s">
        <v>3496</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3483</v>
      </c>
      <c r="B13" s="1058" t="s">
        <v>3439</v>
      </c>
      <c r="C13" s="1058" t="s">
        <v>267</v>
      </c>
      <c r="D13" s="1058" t="s">
        <v>262</v>
      </c>
      <c r="E13" s="1060">
        <v>56073.919999999998</v>
      </c>
      <c r="F13" s="1060">
        <v>-58869.3</v>
      </c>
      <c r="G13" s="1058" t="s">
        <v>3484</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3499</v>
      </c>
      <c r="B14" s="1058" t="s">
        <v>3439</v>
      </c>
      <c r="C14" s="1058" t="s">
        <v>267</v>
      </c>
      <c r="D14" s="1058" t="s">
        <v>279</v>
      </c>
      <c r="E14" s="1060">
        <v>37397</v>
      </c>
      <c r="F14" s="1060">
        <v>-39440.1</v>
      </c>
      <c r="G14" s="1058" t="s">
        <v>3500</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3487</v>
      </c>
      <c r="B15" s="1058" t="s">
        <v>3439</v>
      </c>
      <c r="C15" s="1058" t="s">
        <v>267</v>
      </c>
      <c r="D15" s="1058" t="s">
        <v>3458</v>
      </c>
      <c r="E15" s="1060">
        <v>56197.99</v>
      </c>
      <c r="F15" s="1060">
        <v>-58834.65</v>
      </c>
      <c r="G15" s="1058" t="s">
        <v>3488</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3477</v>
      </c>
      <c r="B16" s="1058" t="s">
        <v>264</v>
      </c>
      <c r="C16" s="1058" t="s">
        <v>267</v>
      </c>
      <c r="D16" s="1058" t="s">
        <v>976</v>
      </c>
      <c r="E16" s="1060">
        <v>32135.51</v>
      </c>
      <c r="F16" s="1060">
        <v>-34034.699999999997</v>
      </c>
      <c r="G16" s="1058" t="s">
        <v>3478</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3489</v>
      </c>
      <c r="B17" s="1058" t="s">
        <v>3439</v>
      </c>
      <c r="C17" s="1058" t="s">
        <v>267</v>
      </c>
      <c r="D17" s="1058" t="s">
        <v>3458</v>
      </c>
      <c r="E17" s="1060">
        <v>55950.97</v>
      </c>
      <c r="F17" s="1060">
        <v>-58834.65</v>
      </c>
      <c r="G17" s="1058" t="s">
        <v>3490</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3491</v>
      </c>
      <c r="B18" s="1058" t="s">
        <v>3439</v>
      </c>
      <c r="C18" s="1058" t="s">
        <v>267</v>
      </c>
      <c r="D18" s="1058" t="s">
        <v>3458</v>
      </c>
      <c r="E18" s="1060">
        <v>55950.97</v>
      </c>
      <c r="F18" s="1060">
        <v>-58834.65</v>
      </c>
      <c r="G18" s="1058" t="s">
        <v>3492</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3509</v>
      </c>
      <c r="B19" s="1058" t="s">
        <v>3439</v>
      </c>
      <c r="C19" s="1058" t="s">
        <v>267</v>
      </c>
      <c r="D19" s="1058" t="s">
        <v>265</v>
      </c>
      <c r="E19" s="1060">
        <v>26927</v>
      </c>
      <c r="F19" s="1060">
        <v>-28367.85</v>
      </c>
      <c r="G19" s="1058" t="s">
        <v>3510</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3475</v>
      </c>
      <c r="B20" s="1058" t="s">
        <v>264</v>
      </c>
      <c r="C20" s="1058" t="s">
        <v>267</v>
      </c>
      <c r="D20" s="1058" t="s">
        <v>976</v>
      </c>
      <c r="E20" s="1060">
        <v>37610</v>
      </c>
      <c r="F20" s="1060">
        <v>-39461.1</v>
      </c>
      <c r="G20" s="1058" t="s">
        <v>3476</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3493</v>
      </c>
      <c r="B21" s="1058" t="s">
        <v>3439</v>
      </c>
      <c r="C21" s="1058" t="s">
        <v>267</v>
      </c>
      <c r="D21" s="1058" t="s">
        <v>3458</v>
      </c>
      <c r="E21" s="1060">
        <v>55950.97</v>
      </c>
      <c r="F21" s="1060">
        <v>-58834.65</v>
      </c>
      <c r="G21" s="1058" t="s">
        <v>3494</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3507</v>
      </c>
      <c r="B22" s="1058" t="s">
        <v>3439</v>
      </c>
      <c r="C22" s="1058" t="s">
        <v>267</v>
      </c>
      <c r="D22" s="1058" t="s">
        <v>265</v>
      </c>
      <c r="E22" s="1060">
        <v>29531</v>
      </c>
      <c r="F22" s="1060">
        <v>-31102.05</v>
      </c>
      <c r="G22" s="1058" t="s">
        <v>3508</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3497</v>
      </c>
      <c r="B23" s="1058" t="s">
        <v>3439</v>
      </c>
      <c r="C23" s="1058" t="s">
        <v>267</v>
      </c>
      <c r="D23" s="1058" t="s">
        <v>3458</v>
      </c>
      <c r="E23" s="1060">
        <v>54250</v>
      </c>
      <c r="F23" s="1060">
        <v>-57051.75</v>
      </c>
      <c r="G23" s="1058" t="s">
        <v>3498</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3501</v>
      </c>
      <c r="B24" s="1058" t="s">
        <v>3439</v>
      </c>
      <c r="C24" s="1058" t="s">
        <v>267</v>
      </c>
      <c r="D24" s="1058" t="s">
        <v>279</v>
      </c>
      <c r="E24" s="1060">
        <v>37506.9</v>
      </c>
      <c r="F24" s="1060">
        <v>-39440.1</v>
      </c>
      <c r="G24" s="1058" t="s">
        <v>3502</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3503</v>
      </c>
      <c r="B25" s="1058" t="s">
        <v>3439</v>
      </c>
      <c r="C25" s="1058" t="s">
        <v>267</v>
      </c>
      <c r="D25" s="1058" t="s">
        <v>3440</v>
      </c>
      <c r="E25" s="1060">
        <v>32637</v>
      </c>
      <c r="F25" s="1060">
        <v>-34363.35</v>
      </c>
      <c r="G25" s="1058" t="s">
        <v>3504</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3479</v>
      </c>
      <c r="B26" s="1058" t="s">
        <v>264</v>
      </c>
      <c r="C26" s="1058" t="s">
        <v>267</v>
      </c>
      <c r="D26" s="1058" t="s">
        <v>976</v>
      </c>
      <c r="E26" s="1060">
        <v>28066.02</v>
      </c>
      <c r="F26" s="1060">
        <v>-28951.65</v>
      </c>
      <c r="G26" s="1058" t="s">
        <v>3480</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3505</v>
      </c>
      <c r="B27" s="1058" t="s">
        <v>3439</v>
      </c>
      <c r="C27" s="1058" t="s">
        <v>267</v>
      </c>
      <c r="D27" s="1058" t="s">
        <v>265</v>
      </c>
      <c r="E27" s="1060">
        <v>32017.87</v>
      </c>
      <c r="F27" s="1060">
        <v>-33204.15</v>
      </c>
      <c r="G27" s="1058" t="s">
        <v>3506</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3556</v>
      </c>
      <c r="B28" s="1058" t="s">
        <v>3439</v>
      </c>
      <c r="C28" s="1058" t="s">
        <v>267</v>
      </c>
      <c r="D28" s="1058" t="s">
        <v>3440</v>
      </c>
      <c r="E28" s="1060">
        <v>31816.52</v>
      </c>
      <c r="F28" s="1056"/>
      <c r="G28" s="1058" t="s">
        <v>3563</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3687</v>
      </c>
      <c r="B29" s="1058" t="s">
        <v>3439</v>
      </c>
      <c r="C29" s="1058" t="s">
        <v>267</v>
      </c>
      <c r="D29" s="1058" t="s">
        <v>3440</v>
      </c>
      <c r="E29" s="1060">
        <v>31513</v>
      </c>
      <c r="F29" s="1056"/>
      <c r="G29" s="1058" t="s">
        <v>3688</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3560</v>
      </c>
      <c r="B30" s="1058" t="s">
        <v>3439</v>
      </c>
      <c r="C30" s="1058" t="s">
        <v>267</v>
      </c>
      <c r="D30" s="1058" t="s">
        <v>262</v>
      </c>
      <c r="E30" s="1060">
        <v>48894</v>
      </c>
      <c r="F30" s="1060">
        <v>-51427.95</v>
      </c>
      <c r="G30" s="1058" t="s">
        <v>3566</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3575</v>
      </c>
      <c r="B31" s="1058" t="s">
        <v>3439</v>
      </c>
      <c r="C31" s="1058" t="s">
        <v>267</v>
      </c>
      <c r="D31" s="1058" t="s">
        <v>3458</v>
      </c>
      <c r="E31" s="1060">
        <v>55948</v>
      </c>
      <c r="F31" s="1060">
        <v>-58834.65</v>
      </c>
      <c r="G31" s="1058" t="s">
        <v>3565</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3689</v>
      </c>
      <c r="B32" s="1058" t="s">
        <v>3439</v>
      </c>
      <c r="C32" s="1058" t="s">
        <v>267</v>
      </c>
      <c r="D32" s="1058" t="s">
        <v>3458</v>
      </c>
      <c r="E32" s="1060">
        <v>54236.5</v>
      </c>
      <c r="F32" s="1056"/>
      <c r="G32" s="1058" t="s">
        <v>3690</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3579</v>
      </c>
      <c r="B33" s="1058" t="s">
        <v>3439</v>
      </c>
      <c r="C33" s="1058" t="s">
        <v>267</v>
      </c>
      <c r="D33" s="1058" t="s">
        <v>976</v>
      </c>
      <c r="E33" s="1060">
        <v>32864</v>
      </c>
      <c r="F33" s="1060">
        <v>-34706.699999999997</v>
      </c>
      <c r="G33" s="1058" t="s">
        <v>3564</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3567</v>
      </c>
      <c r="B34" s="1058" t="s">
        <v>3439</v>
      </c>
      <c r="C34" s="1058" t="s">
        <v>267</v>
      </c>
      <c r="D34" s="1058" t="s">
        <v>262</v>
      </c>
      <c r="E34" s="1060">
        <v>55259.97</v>
      </c>
      <c r="F34" s="1060">
        <v>-58109.1</v>
      </c>
      <c r="G34" s="1058" t="s">
        <v>3568</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3559</v>
      </c>
      <c r="B35" s="1058" t="s">
        <v>3439</v>
      </c>
      <c r="C35" s="1058" t="s">
        <v>267</v>
      </c>
      <c r="D35" s="1058" t="s">
        <v>3458</v>
      </c>
      <c r="E35" s="1060">
        <v>53794.97</v>
      </c>
      <c r="F35" s="1060">
        <v>-56570.85</v>
      </c>
      <c r="G35" s="1058" t="s">
        <v>3569</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3562</v>
      </c>
      <c r="B36" s="1058" t="s">
        <v>3439</v>
      </c>
      <c r="C36" s="1058" t="s">
        <v>267</v>
      </c>
      <c r="D36" s="1058" t="s">
        <v>265</v>
      </c>
      <c r="E36" s="1060">
        <v>28629</v>
      </c>
      <c r="F36" s="1056"/>
      <c r="G36" s="1058" t="s">
        <v>3571</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3558</v>
      </c>
      <c r="B37" s="1058" t="s">
        <v>3439</v>
      </c>
      <c r="C37" s="1058" t="s">
        <v>267</v>
      </c>
      <c r="D37" s="1058" t="s">
        <v>262</v>
      </c>
      <c r="E37" s="1060">
        <v>54801.97</v>
      </c>
      <c r="F37" s="1060">
        <v>-57628.2</v>
      </c>
      <c r="G37" s="1058" t="s">
        <v>3574</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3572</v>
      </c>
      <c r="B38" s="1058" t="s">
        <v>3439</v>
      </c>
      <c r="C38" s="1058" t="s">
        <v>267</v>
      </c>
      <c r="D38" s="1058" t="s">
        <v>262</v>
      </c>
      <c r="E38" s="1060">
        <v>58249.97</v>
      </c>
      <c r="F38" s="1056"/>
      <c r="G38" s="1058" t="s">
        <v>3576</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3555</v>
      </c>
      <c r="B39" s="1058" t="s">
        <v>3439</v>
      </c>
      <c r="C39" s="1058" t="s">
        <v>267</v>
      </c>
      <c r="D39" s="1058" t="s">
        <v>260</v>
      </c>
      <c r="E39" s="1060">
        <v>45175.95</v>
      </c>
      <c r="F39" s="1060">
        <v>-47526.15</v>
      </c>
      <c r="G39" s="1058" t="s">
        <v>3577</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3557</v>
      </c>
      <c r="B40" s="1058" t="s">
        <v>3439</v>
      </c>
      <c r="C40" s="1058" t="s">
        <v>267</v>
      </c>
      <c r="D40" s="1058" t="s">
        <v>260</v>
      </c>
      <c r="E40" s="1060">
        <v>44101</v>
      </c>
      <c r="F40" s="1060">
        <v>-46474.05</v>
      </c>
      <c r="G40" s="1058" t="s">
        <v>3578</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3570</v>
      </c>
      <c r="B41" s="1058" t="s">
        <v>3439</v>
      </c>
      <c r="C41" s="1058" t="s">
        <v>267</v>
      </c>
      <c r="D41" s="1058" t="s">
        <v>262</v>
      </c>
      <c r="E41" s="1060">
        <v>54806.97</v>
      </c>
      <c r="F41" s="1060">
        <v>-57628.2</v>
      </c>
      <c r="G41" s="1058" t="s">
        <v>3581</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3561</v>
      </c>
      <c r="B42" s="1058" t="s">
        <v>3439</v>
      </c>
      <c r="C42" s="1058" t="s">
        <v>267</v>
      </c>
      <c r="D42" s="1058" t="s">
        <v>976</v>
      </c>
      <c r="E42" s="1060">
        <v>38195</v>
      </c>
      <c r="F42" s="1060">
        <v>-40225.5</v>
      </c>
      <c r="G42" s="1058" t="s">
        <v>3580</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3691</v>
      </c>
      <c r="B43" s="1058" t="s">
        <v>3439</v>
      </c>
      <c r="C43" s="1058" t="s">
        <v>267</v>
      </c>
      <c r="D43" s="1058" t="s">
        <v>3458</v>
      </c>
      <c r="E43" s="1060">
        <v>56348.1</v>
      </c>
      <c r="F43" s="1060">
        <v>-58834.65</v>
      </c>
      <c r="G43" s="1058" t="s">
        <v>3692</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3693</v>
      </c>
      <c r="B44" s="1058" t="s">
        <v>3439</v>
      </c>
      <c r="C44" s="1058" t="s">
        <v>267</v>
      </c>
      <c r="D44" s="1058" t="s">
        <v>260</v>
      </c>
      <c r="E44" s="1060">
        <v>45762.95</v>
      </c>
      <c r="F44" s="1056"/>
      <c r="G44" s="1058" t="s">
        <v>3694</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3695</v>
      </c>
      <c r="B45" s="1058" t="s">
        <v>3439</v>
      </c>
      <c r="C45" s="1058" t="s">
        <v>267</v>
      </c>
      <c r="D45" s="1058" t="s">
        <v>976</v>
      </c>
      <c r="E45" s="1060">
        <v>37908</v>
      </c>
      <c r="F45" s="1060">
        <v>-39749.85</v>
      </c>
      <c r="G45" s="1058" t="s">
        <v>3696</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3697</v>
      </c>
      <c r="B46" s="1058" t="s">
        <v>3439</v>
      </c>
      <c r="C46" s="1058" t="s">
        <v>267</v>
      </c>
      <c r="D46" s="1058" t="s">
        <v>976</v>
      </c>
      <c r="E46" s="1060">
        <v>32705</v>
      </c>
      <c r="F46" s="1060">
        <v>-34423.199999999997</v>
      </c>
      <c r="G46" s="1058" t="s">
        <v>3698</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3699</v>
      </c>
      <c r="B47" s="1058" t="s">
        <v>3439</v>
      </c>
      <c r="C47" s="1058" t="s">
        <v>267</v>
      </c>
      <c r="D47" s="1058" t="s">
        <v>976</v>
      </c>
      <c r="E47" s="1060">
        <v>32705</v>
      </c>
      <c r="F47" s="1060">
        <v>-34423.199999999997</v>
      </c>
      <c r="G47" s="1058" t="s">
        <v>3700</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3701</v>
      </c>
      <c r="B48" s="1058" t="s">
        <v>3439</v>
      </c>
      <c r="C48" s="1058" t="s">
        <v>267</v>
      </c>
      <c r="D48" s="1058" t="s">
        <v>976</v>
      </c>
      <c r="E48" s="1060">
        <v>32700</v>
      </c>
      <c r="F48" s="1060">
        <v>-34423.199999999997</v>
      </c>
      <c r="G48" s="1058" t="s">
        <v>3702</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3703</v>
      </c>
      <c r="B49" s="1058" t="s">
        <v>3439</v>
      </c>
      <c r="C49" s="1058" t="s">
        <v>267</v>
      </c>
      <c r="D49" s="1058" t="s">
        <v>976</v>
      </c>
      <c r="E49" s="1060">
        <v>35661.949999999997</v>
      </c>
      <c r="F49" s="1056"/>
      <c r="G49" s="1058" t="s">
        <v>3704</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3705</v>
      </c>
      <c r="B50" s="1058" t="s">
        <v>3439</v>
      </c>
      <c r="C50" s="1058" t="s">
        <v>267</v>
      </c>
      <c r="D50" s="1058" t="s">
        <v>260</v>
      </c>
      <c r="E50" s="1060">
        <v>44107</v>
      </c>
      <c r="F50" s="1060">
        <v>-46474.05</v>
      </c>
      <c r="G50" s="1058" t="s">
        <v>3706</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3707</v>
      </c>
      <c r="B51" s="1058" t="s">
        <v>3439</v>
      </c>
      <c r="C51" s="1058" t="s">
        <v>267</v>
      </c>
      <c r="D51" s="1058" t="s">
        <v>976</v>
      </c>
      <c r="E51" s="1060">
        <v>37441.5</v>
      </c>
      <c r="F51" s="1056"/>
      <c r="G51" s="1058" t="s">
        <v>3708</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3709</v>
      </c>
      <c r="B52" s="1058" t="s">
        <v>3439</v>
      </c>
      <c r="C52" s="1058" t="s">
        <v>267</v>
      </c>
      <c r="D52" s="1058" t="s">
        <v>279</v>
      </c>
      <c r="E52" s="1060">
        <v>38207</v>
      </c>
      <c r="F52" s="1060">
        <v>-40179.300000000003</v>
      </c>
      <c r="G52" s="1058" t="s">
        <v>3710</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3711</v>
      </c>
      <c r="B53" s="1058" t="s">
        <v>3439</v>
      </c>
      <c r="C53" s="1058" t="s">
        <v>267</v>
      </c>
      <c r="D53" s="1058" t="s">
        <v>976</v>
      </c>
      <c r="E53" s="1060">
        <v>37773</v>
      </c>
      <c r="F53" s="1060">
        <v>-39749.85</v>
      </c>
      <c r="G53" s="1058" t="s">
        <v>3712</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3713</v>
      </c>
      <c r="B54" s="1058" t="s">
        <v>3439</v>
      </c>
      <c r="C54" s="1058" t="s">
        <v>267</v>
      </c>
      <c r="D54" s="1058" t="s">
        <v>976</v>
      </c>
      <c r="E54" s="1060">
        <v>37109</v>
      </c>
      <c r="F54" s="1060">
        <v>-39552.449999999997</v>
      </c>
      <c r="G54" s="1058" t="s">
        <v>3714</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3715</v>
      </c>
      <c r="B55" s="1058" t="s">
        <v>3439</v>
      </c>
      <c r="C55" s="1058" t="s">
        <v>267</v>
      </c>
      <c r="D55" s="1058" t="s">
        <v>976</v>
      </c>
      <c r="E55" s="1060">
        <v>34270</v>
      </c>
      <c r="F55" s="1060">
        <v>-36066.449999999997</v>
      </c>
      <c r="G55" s="1058" t="s">
        <v>3716</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3717</v>
      </c>
      <c r="B56" s="1058" t="s">
        <v>3439</v>
      </c>
      <c r="C56" s="1058" t="s">
        <v>267</v>
      </c>
      <c r="D56" s="1058" t="s">
        <v>279</v>
      </c>
      <c r="E56" s="1060">
        <v>39384</v>
      </c>
      <c r="F56" s="1060">
        <v>-41836.199999999997</v>
      </c>
      <c r="G56" s="1058" t="s">
        <v>3718</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3719</v>
      </c>
      <c r="B57" s="1058" t="s">
        <v>3439</v>
      </c>
      <c r="C57" s="1058" t="s">
        <v>267</v>
      </c>
      <c r="D57" s="1058" t="s">
        <v>3573</v>
      </c>
      <c r="E57" s="1060">
        <v>49697</v>
      </c>
      <c r="F57" s="1060">
        <v>-52243.8</v>
      </c>
      <c r="G57" s="1058" t="s">
        <v>3720</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3721</v>
      </c>
      <c r="B58" s="1058" t="s">
        <v>3439</v>
      </c>
      <c r="C58" s="1058" t="s">
        <v>267</v>
      </c>
      <c r="D58" s="1058" t="s">
        <v>3573</v>
      </c>
      <c r="E58" s="1060">
        <v>49697</v>
      </c>
      <c r="F58" s="1060">
        <v>-52243.8</v>
      </c>
      <c r="G58" s="1058" t="s">
        <v>3722</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3723</v>
      </c>
      <c r="B59" s="1058" t="s">
        <v>3439</v>
      </c>
      <c r="C59" s="1058" t="s">
        <v>267</v>
      </c>
      <c r="D59" s="1058" t="s">
        <v>976</v>
      </c>
      <c r="E59" s="1060">
        <v>35568</v>
      </c>
      <c r="F59" s="1060">
        <v>-37434.6</v>
      </c>
      <c r="G59" s="1058" t="s">
        <v>3724</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3725</v>
      </c>
      <c r="B60" s="1058" t="s">
        <v>3439</v>
      </c>
      <c r="C60" s="1058" t="s">
        <v>267</v>
      </c>
      <c r="D60" s="1058" t="s">
        <v>976</v>
      </c>
      <c r="E60" s="1060">
        <v>34265</v>
      </c>
      <c r="F60" s="1060">
        <v>-36066.449999999997</v>
      </c>
      <c r="G60" s="1058" t="s">
        <v>3726</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3727</v>
      </c>
      <c r="B61" s="1058" t="s">
        <v>3439</v>
      </c>
      <c r="C61" s="1058" t="s">
        <v>267</v>
      </c>
      <c r="D61" s="1058" t="s">
        <v>976</v>
      </c>
      <c r="E61" s="1060">
        <v>28211</v>
      </c>
      <c r="F61" s="1056"/>
      <c r="G61" s="1058" t="s">
        <v>3728</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3729</v>
      </c>
      <c r="B62" s="1058" t="s">
        <v>3439</v>
      </c>
      <c r="C62" s="1058" t="s">
        <v>267</v>
      </c>
      <c r="D62" s="1058" t="s">
        <v>260</v>
      </c>
      <c r="E62" s="1060">
        <v>47482.92</v>
      </c>
      <c r="F62" s="1060">
        <v>-47526.15</v>
      </c>
      <c r="G62" s="1058" t="s">
        <v>3730</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3731</v>
      </c>
      <c r="B63" s="1058" t="s">
        <v>3439</v>
      </c>
      <c r="C63" s="1058" t="s">
        <v>267</v>
      </c>
      <c r="D63" s="1058" t="s">
        <v>260</v>
      </c>
      <c r="E63" s="1060">
        <v>40734</v>
      </c>
      <c r="F63" s="1060">
        <v>-43358.7</v>
      </c>
      <c r="G63" s="1058" t="s">
        <v>3732</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3733</v>
      </c>
      <c r="B64" s="1058" t="s">
        <v>3439</v>
      </c>
      <c r="C64" s="1058" t="s">
        <v>267</v>
      </c>
      <c r="D64" s="1058" t="s">
        <v>279</v>
      </c>
      <c r="E64" s="1060">
        <v>37806</v>
      </c>
      <c r="F64" s="1060">
        <v>-40179.300000000003</v>
      </c>
      <c r="G64" s="1058" t="s">
        <v>3734</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3735</v>
      </c>
      <c r="B65" s="1058" t="s">
        <v>3439</v>
      </c>
      <c r="C65" s="1058" t="s">
        <v>267</v>
      </c>
      <c r="D65" s="1058" t="s">
        <v>260</v>
      </c>
      <c r="E65" s="1060">
        <v>44886</v>
      </c>
      <c r="F65" s="1060">
        <v>-47718.3</v>
      </c>
      <c r="G65" s="1058" t="s">
        <v>3736</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3737</v>
      </c>
      <c r="B66" s="1058" t="s">
        <v>3439</v>
      </c>
      <c r="C66" s="1058" t="s">
        <v>267</v>
      </c>
      <c r="D66" s="1058" t="s">
        <v>260</v>
      </c>
      <c r="E66" s="1060">
        <v>44154</v>
      </c>
      <c r="F66" s="1060">
        <v>-46949.7</v>
      </c>
      <c r="G66" s="1058" t="s">
        <v>3738</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3739</v>
      </c>
      <c r="B67" s="1058" t="s">
        <v>3439</v>
      </c>
      <c r="C67" s="1058" t="s">
        <v>267</v>
      </c>
      <c r="D67" s="1058" t="s">
        <v>260</v>
      </c>
      <c r="E67" s="1060">
        <v>44154</v>
      </c>
      <c r="F67" s="1060">
        <v>-46949.7</v>
      </c>
      <c r="G67" s="1058" t="s">
        <v>3740</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3741</v>
      </c>
      <c r="B68" s="1058" t="s">
        <v>3439</v>
      </c>
      <c r="C68" s="1058" t="s">
        <v>267</v>
      </c>
      <c r="D68" s="1058" t="s">
        <v>260</v>
      </c>
      <c r="E68" s="1060">
        <v>43701</v>
      </c>
      <c r="F68" s="1060">
        <v>-46474.05</v>
      </c>
      <c r="G68" s="1058" t="s">
        <v>3742</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3743</v>
      </c>
      <c r="B69" s="1058" t="s">
        <v>3439</v>
      </c>
      <c r="C69" s="1058" t="s">
        <v>267</v>
      </c>
      <c r="D69" s="1058" t="s">
        <v>260</v>
      </c>
      <c r="E69" s="1060">
        <v>43701</v>
      </c>
      <c r="F69" s="1060">
        <v>-46474.05</v>
      </c>
      <c r="G69" s="1058" t="s">
        <v>3744</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3745</v>
      </c>
      <c r="B70" s="1058" t="s">
        <v>3439</v>
      </c>
      <c r="C70" s="1058" t="s">
        <v>267</v>
      </c>
      <c r="D70" s="1058" t="s">
        <v>260</v>
      </c>
      <c r="E70" s="1060">
        <v>40734</v>
      </c>
      <c r="F70" s="1060">
        <v>-43358.7</v>
      </c>
      <c r="G70" s="1058" t="s">
        <v>3746</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3747</v>
      </c>
      <c r="B71" s="1058" t="s">
        <v>3439</v>
      </c>
      <c r="C71" s="1058" t="s">
        <v>267</v>
      </c>
      <c r="D71" s="1058" t="s">
        <v>260</v>
      </c>
      <c r="E71" s="1060">
        <v>39069</v>
      </c>
      <c r="F71" s="1060">
        <v>-41610.449999999997</v>
      </c>
      <c r="G71" s="1058" t="s">
        <v>3748</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3749</v>
      </c>
      <c r="B72" s="1058" t="s">
        <v>3439</v>
      </c>
      <c r="C72" s="1058" t="s">
        <v>267</v>
      </c>
      <c r="D72" s="1058" t="s">
        <v>260</v>
      </c>
      <c r="E72" s="1060">
        <v>44154</v>
      </c>
      <c r="F72" s="1060">
        <v>-46949.7</v>
      </c>
      <c r="G72" s="1058" t="s">
        <v>3750</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sortState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3"/>
  <sheetViews>
    <sheetView tabSelected="1" topLeftCell="C4" zoomScale="80" zoomScaleNormal="80" workbookViewId="0">
      <selection activeCell="K24" sqref="K24"/>
    </sheetView>
  </sheetViews>
  <sheetFormatPr baseColWidth="10" defaultColWidth="12.625" defaultRowHeight="15" customHeight="1"/>
  <cols>
    <col min="1" max="1" width="10.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4.5" customWidth="1"/>
    <col min="39" max="39" width="9" customWidth="1"/>
    <col min="40" max="40" width="11.5" bestFit="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5" t="s">
        <v>343</v>
      </c>
      <c r="E3" s="1226"/>
      <c r="F3" s="1227"/>
      <c r="G3" s="1230"/>
      <c r="H3" s="1226"/>
      <c r="I3" s="1227"/>
      <c r="J3" s="1230" t="s">
        <v>344</v>
      </c>
      <c r="K3" s="1226"/>
      <c r="L3" s="1227"/>
      <c r="M3" s="1230" t="s">
        <v>3310</v>
      </c>
      <c r="N3" s="1227"/>
      <c r="O3" s="1225" t="s">
        <v>345</v>
      </c>
      <c r="P3" s="1226"/>
      <c r="Q3" s="1227"/>
      <c r="R3" s="1228" t="s">
        <v>3312</v>
      </c>
      <c r="S3" s="1229"/>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3782098.1621498531</v>
      </c>
      <c r="G5" s="247"/>
      <c r="H5" s="247"/>
      <c r="I5" s="249"/>
      <c r="J5" s="246"/>
      <c r="K5" s="250"/>
      <c r="L5" s="248">
        <f>-SUMIFS(BV_Data_An_Cour!$O:$O,BV_Data_An_Cour!$X:$X,"Oui",BV_Data_An_Cour!$U:$U,$B5)</f>
        <v>4089468.2600000007</v>
      </c>
      <c r="M5" s="251"/>
      <c r="N5" s="252"/>
      <c r="O5" s="246"/>
      <c r="P5" s="250"/>
      <c r="Q5" s="248">
        <f t="array" ref="Q5">+INDEX('Réel 2024'!$A$2:$AO$501,MATCH($A5,'Réel 2024'!$A$2:$A$501,0),MATCH(Q$2,'Réel 2024'!$A$2:$AO$2,0))</f>
        <v>4524162.07</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19</v>
      </c>
      <c r="E6" s="254">
        <f>IF(D6=0,0,F6/D6)</f>
        <v>1953.6491683802797</v>
      </c>
      <c r="F6" s="254">
        <f>+INDEX('Budget original'!$A$2:$AO$501,MATCH($A6,'Budget original'!$A$2:$A$501,0),MATCH(F$2,'Budget original'!$A$2:$AO$2,0))</f>
        <v>37119.334199225312</v>
      </c>
      <c r="G6" s="255"/>
      <c r="H6" s="254"/>
      <c r="I6" s="254"/>
      <c r="J6" s="255">
        <f>-SUMIFS(BV_Data_An_Cour!$O:$O,BV_Data_An_Cour!$U:$U,$B6,BV_Data_An_Cour!$V:$V,$C6,BV_Data_An_Cour!$W:$W,J$2)</f>
        <v>13</v>
      </c>
      <c r="K6" s="254">
        <f t="shared" ref="K6:K12" si="0">IF(J6=0,0,L6/J6)</f>
        <v>1905.2107692307695</v>
      </c>
      <c r="L6" s="256">
        <f>-SUMIFS(BV_Data_An_Cour!$O:$O,BV_Data_An_Cour!$U:$U,$B6,BV_Data_An_Cour!$V:$V,$C6,BV_Data_An_Cour!$W:$W,L$2)</f>
        <v>24767.740000000005</v>
      </c>
      <c r="M6" s="255">
        <f t="shared" ref="M6:M12" si="1">J6-D6</f>
        <v>-6</v>
      </c>
      <c r="N6" s="256">
        <f t="shared" ref="N6:N12" si="2">L6-F6</f>
        <v>-12351.594199225307</v>
      </c>
      <c r="O6" s="255">
        <f>+INDEX('Réel 2024'!$A$2:$AO$501,MATCH($A6,'Réel 2024'!$A$2:$A$501,0),MATCH(O$2,'Réel 2024'!$A$2:$AO$2,0))</f>
        <v>23</v>
      </c>
      <c r="P6" s="254">
        <f t="shared" ref="P6:P12" si="3">IF(O6=0,0,Q6/O6)</f>
        <v>1942.4756521739087</v>
      </c>
      <c r="Q6" s="256">
        <f t="array" ref="Q6">+INDEX('Réel 2024'!$A$2:$AO$501,MATCH($A6,'Réel 2024'!$A$2:$A$501,0),MATCH(Q$2,'Réel 2024'!$A$2:$AO$2,0))</f>
        <v>44676.9399999999</v>
      </c>
      <c r="R6" s="255">
        <f t="shared" ref="R6:R12" si="4">J6-O6</f>
        <v>-10</v>
      </c>
      <c r="S6" s="256">
        <f t="shared" ref="S6:S12" si="5">L6-Q6</f>
        <v>-19909.199999999895</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50</v>
      </c>
      <c r="E7" s="254">
        <f t="shared" ref="E7:E12" si="6">IF(D7=0,0,F7/D7)</f>
        <v>2435.9046775963693</v>
      </c>
      <c r="F7" s="254">
        <f>+INDEX('Budget original'!$A$2:$AO$501,MATCH($A7,'Budget original'!$A$2:$A$501,0),MATCH(F$2,'Budget original'!$A$2:$AO$2,0))</f>
        <v>121795.23387981846</v>
      </c>
      <c r="G7" s="255"/>
      <c r="H7" s="254"/>
      <c r="I7" s="254"/>
      <c r="J7" s="255">
        <f>-SUMIFS(BV_Data_An_Cour!$O:$O,BV_Data_An_Cour!$U:$U,$B7,BV_Data_An_Cour!$V:$V,$C7,BV_Data_An_Cour!$W:$W,J$2)</f>
        <v>63</v>
      </c>
      <c r="K7" s="254">
        <f t="shared" si="0"/>
        <v>2276.0850793650839</v>
      </c>
      <c r="L7" s="256">
        <f>-SUMIFS(BV_Data_An_Cour!$O:$O,BV_Data_An_Cour!$U:$U,$B7,BV_Data_An_Cour!$V:$V,$C7,BV_Data_An_Cour!$W:$W,L$2)</f>
        <v>143393.36000000028</v>
      </c>
      <c r="M7" s="255">
        <f t="shared" si="1"/>
        <v>13</v>
      </c>
      <c r="N7" s="256">
        <f t="shared" si="2"/>
        <v>21598.126120181812</v>
      </c>
      <c r="O7" s="255">
        <f t="array" ref="O7">+INDEX('Réel 2024'!$A$2:$AO$501,MATCH($A7,'Réel 2024'!$A$2:$A$501,0),MATCH(O$2,'Réel 2024'!$A$2:$AO$2,0))</f>
        <v>54</v>
      </c>
      <c r="P7" s="254">
        <f t="shared" si="3"/>
        <v>2267.4683333333151</v>
      </c>
      <c r="Q7" s="256">
        <f t="array" ref="Q7">+INDEX('Réel 2024'!$A$2:$AO$501,MATCH($A7,'Réel 2024'!$A$2:$A$501,0),MATCH(Q$2,'Réel 2024'!$A$2:$AO$2,0))</f>
        <v>122443.289999999</v>
      </c>
      <c r="R7" s="255">
        <f t="shared" si="4"/>
        <v>9</v>
      </c>
      <c r="S7" s="256">
        <f t="shared" si="5"/>
        <v>20950.070000001273</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2024'!$A$2:$AO$501,MATCH($A8,'Réel 2024'!$A$2:$A$501,0),MATCH(O$2,'Réel 2024'!$A$2:$AO$2,0))</f>
        <v>0</v>
      </c>
      <c r="P8" s="254">
        <f t="shared" si="3"/>
        <v>0</v>
      </c>
      <c r="Q8" s="256">
        <f t="array" ref="Q8">+INDEX('Réel 2024'!$A$2:$AO$501,MATCH($A8,'Réel 2024'!$A$2:$A$501,0),MATCH(Q$2,'Réel 2024'!$A$2:$AO$2,0))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2024'!$A$2:$AO$501,MATCH($A9,'Réel 2024'!$A$2:$A$501,0),MATCH(O$2,'Réel 2024'!$A$2:$AO$2,0))</f>
        <v>0</v>
      </c>
      <c r="P9" s="254">
        <f t="shared" si="3"/>
        <v>0</v>
      </c>
      <c r="Q9" s="256">
        <f t="array" ref="Q9">+INDEX('Réel 2024'!$A$2:$AO$501,MATCH($A9,'Réel 2024'!$A$2:$A$501,0),MATCH(Q$2,'Réel 2024'!$A$2:$AO$2,0))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2024'!$A$2:$AO$501,MATCH($A10,'Réel 2024'!$A$2:$A$501,0),MATCH(O$2,'Réel 2024'!$A$2:$AO$2,0))</f>
        <v>0</v>
      </c>
      <c r="P10" s="254">
        <f t="shared" si="3"/>
        <v>0</v>
      </c>
      <c r="Q10" s="256">
        <f t="array" ref="Q10">+INDEX('Réel 2024'!$A$2:$AO$501,MATCH($A10,'Réel 2024'!$A$2:$A$501,0),MATCH(Q$2,'Réel 2024'!$A$2:$AO$2,0))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2024'!$A$2:$AO$501,MATCH($A11,'Réel 2024'!$A$2:$A$501,0),MATCH(O$2,'Réel 2024'!$A$2:$AO$2,0))</f>
        <v>0</v>
      </c>
      <c r="P11" s="254">
        <f t="shared" si="3"/>
        <v>0</v>
      </c>
      <c r="Q11" s="256">
        <f t="array" ref="Q11">+INDEX('Réel 2024'!$A$2:$AO$501,MATCH($A11,'Réel 2024'!$A$2:$A$501,0),MATCH(Q$2,'Réel 2024'!$A$2:$AO$2,0))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2024'!$A$2:$AO$501,MATCH($A12,'Réel 2024'!$A$2:$A$501,0),MATCH(O$2,'Réel 2024'!$A$2:$AO$2,0))</f>
        <v>0</v>
      </c>
      <c r="P12" s="254">
        <f t="shared" si="3"/>
        <v>0</v>
      </c>
      <c r="Q12" s="256">
        <f t="array" ref="Q12">+INDEX('Réel 2024'!$A$2:$AO$501,MATCH($A12,'Réel 2024'!$A$2:$A$501,0),MATCH(Q$2,'Réel 2024'!$A$2:$AO$2,0))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69</v>
      </c>
      <c r="E13" s="260">
        <f>IF(D13&lt;=0,0,F13/D13)</f>
        <v>2303.109682304982</v>
      </c>
      <c r="F13" s="261">
        <f>+SUM(F6:F12)</f>
        <v>158914.56807904376</v>
      </c>
      <c r="G13" s="262"/>
      <c r="H13" s="260"/>
      <c r="I13" s="261"/>
      <c r="J13" s="262">
        <f t="shared" ref="J13" si="7">+SUM(J6:J12)</f>
        <v>76</v>
      </c>
      <c r="K13" s="260">
        <f>IF(J13&lt;=0,0,L13/J13)</f>
        <v>2212.6460526315823</v>
      </c>
      <c r="L13" s="261">
        <f t="shared" ref="L13" si="8">+SUM(L6:L12)</f>
        <v>168161.10000000027</v>
      </c>
      <c r="M13" s="262">
        <f>+SUM(M6:M12)</f>
        <v>7</v>
      </c>
      <c r="N13" s="261">
        <f t="shared" ref="N13" si="9">+SUM(N6:N12)</f>
        <v>9246.5319209565059</v>
      </c>
      <c r="O13" s="262">
        <f>+SUM(O6:O12)</f>
        <v>77</v>
      </c>
      <c r="P13" s="260">
        <f>IF(O13&lt;=0,0,Q13/O13)</f>
        <v>2170.3925974025833</v>
      </c>
      <c r="Q13" s="261">
        <f t="shared" ref="Q13" si="10">+SUM(Q6:Q12)</f>
        <v>167120.2299999989</v>
      </c>
      <c r="R13" s="262">
        <f t="shared" ref="R13:S13" si="11">+SUM(R6:R12)</f>
        <v>-1</v>
      </c>
      <c r="S13" s="261">
        <f t="shared" si="11"/>
        <v>1040.8700000013778</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0.10144927536231885</v>
      </c>
      <c r="N14" s="980">
        <f>IF(F13=0,0,N13/F13)</f>
        <v>5.8185552355132737E-2</v>
      </c>
      <c r="O14" s="253"/>
      <c r="P14" s="254"/>
      <c r="Q14" s="263"/>
      <c r="R14" s="979">
        <f>R13/O13</f>
        <v>-1.2987012987012988E-2</v>
      </c>
      <c r="S14" s="980">
        <f>IF(Q13=0,0,(S13/Q13))</f>
        <v>6.2282705092099539E-3</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1534.7521433415677</v>
      </c>
      <c r="F15" s="248">
        <f>+INDEX('Budget original'!$A$2:$AO$501,MATCH($A15,'Budget original'!$A$2:$A$501,0),MATCH(F$2,'Budget original'!$A$2:$AO$2,0))</f>
        <v>6139.0085733662709</v>
      </c>
      <c r="G15" s="267"/>
      <c r="H15" s="250"/>
      <c r="I15" s="248"/>
      <c r="J15" s="268">
        <f>-SUMIFS(BV_Data_An_Cour!$O:$O,BV_Data_An_Cour!$U:$U,$B15,BV_Data_An_Cour!$V:$V,$C15,BV_Data_An_Cour!$W:$W,J$2)</f>
        <v>5</v>
      </c>
      <c r="K15" s="269">
        <f>IF(J15=0,0,L15/J15)</f>
        <v>1374.5080000000016</v>
      </c>
      <c r="L15" s="269">
        <f>-SUMIFS(BV_Data_An_Cour!$O:$O,BV_Data_An_Cour!$U:$U,$B15,BV_Data_An_Cour!$V:$V,$C15,BV_Data_An_Cour!$W:$W,L$2)</f>
        <v>6872.5400000000081</v>
      </c>
      <c r="M15" s="267">
        <f>J15-D15</f>
        <v>1</v>
      </c>
      <c r="N15" s="248">
        <f>L15-F15</f>
        <v>733.53142663373728</v>
      </c>
      <c r="O15" s="268">
        <f t="array" ref="O15">+INDEX('Réel 2024'!$A$2:$AO$501,MATCH($A15,'Réel 2024'!$A$2:$A$501,0),MATCH(O$2,'Réel 2024'!$A$2:$AO$2,0))</f>
        <v>3</v>
      </c>
      <c r="P15" s="269">
        <f>IF(O15=0,0,Q15/O15)</f>
        <v>913.28999999999667</v>
      </c>
      <c r="Q15" s="269">
        <f t="array" ref="Q15">+INDEX('Réel 2024'!$A$2:$AO$501,MATCH($A15,'Réel 2024'!$A$2:$A$501,0),MATCH(Q$2,'Réel 2024'!$A$2:$AO$2,0))</f>
        <v>2739.8699999999899</v>
      </c>
      <c r="R15" s="267">
        <f>J15-O15</f>
        <v>2</v>
      </c>
      <c r="S15" s="248">
        <f>L15-Q15</f>
        <v>4132.6700000000183</v>
      </c>
      <c r="T15" s="41"/>
      <c r="U15" s="1158"/>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2</v>
      </c>
      <c r="E17" s="254">
        <f>IF(D17=0,0,F17/D17)</f>
        <v>2393.8521192147828</v>
      </c>
      <c r="F17" s="254">
        <f>+INDEX('Budget original'!$A$2:$AO$501,MATCH($A17,'Budget original'!$A$2:$A$501,0),MATCH(F$2,'Budget original'!$A$2:$AO$2,0))</f>
        <v>4787.7042384295655</v>
      </c>
      <c r="G17" s="255"/>
      <c r="H17" s="254"/>
      <c r="I17" s="254"/>
      <c r="J17" s="267">
        <f>-SUMIFS(BV_Data_An_Cour!$O:$O,BV_Data_An_Cour!$U:$U,$B17,BV_Data_An_Cour!$V:$V,$C17,BV_Data_An_Cour!$W:$W,J$2)</f>
        <v>0</v>
      </c>
      <c r="K17" s="254">
        <f>IF(J17=0,0,L17/J17)</f>
        <v>0</v>
      </c>
      <c r="L17" s="256">
        <f>-SUMIFS(BV_Data_An_Cour!$O:$O,BV_Data_An_Cour!$U:$U,$B17,BV_Data_An_Cour!$V:$V,$C17,BV_Data_An_Cour!$W:$W,L$2)</f>
        <v>0</v>
      </c>
      <c r="M17" s="267">
        <f>J17-D17</f>
        <v>-2</v>
      </c>
      <c r="N17" s="256">
        <f>L17-F17</f>
        <v>-4787.7042384295655</v>
      </c>
      <c r="O17" s="267">
        <f t="array" ref="O17">+INDEX('Réel 2024'!$A$2:$AO$501,MATCH($A17,'Réel 2024'!$A$2:$A$501,0),MATCH(O$2,'Réel 2024'!$A$2:$AO$2,0))</f>
        <v>5</v>
      </c>
      <c r="P17" s="254">
        <f>IF(O17=0,0,Q17/O17)</f>
        <v>2550.9160000000002</v>
      </c>
      <c r="Q17" s="256">
        <f t="array" ref="Q17">+INDEX('Réel 2024'!$A$2:$AO$501,MATCH($A17,'Réel 2024'!$A$2:$A$501,0),MATCH(Q$2,'Réel 2024'!$A$2:$AO$2,0))</f>
        <v>12754.58</v>
      </c>
      <c r="R17" s="255">
        <f>J17-O17</f>
        <v>-5</v>
      </c>
      <c r="S17" s="256">
        <f>L17-Q17</f>
        <v>-12754.58</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7650</v>
      </c>
      <c r="G19" s="255"/>
      <c r="H19" s="254"/>
      <c r="I19" s="254"/>
      <c r="J19" s="267"/>
      <c r="K19" s="254"/>
      <c r="L19" s="256">
        <f>-SUMIFS(BV_Data_An_Cour!$O:$O,BV_Data_An_Cour!$U:$U,$B19,BV_Data_An_Cour!$V:$V,$C19,BV_Data_An_Cour!$W:$W,L$2)</f>
        <v>12602.349999999977</v>
      </c>
      <c r="M19" s="255"/>
      <c r="N19" s="256">
        <f>L19-F19</f>
        <v>4952.3499999999767</v>
      </c>
      <c r="O19" s="267"/>
      <c r="P19" s="254"/>
      <c r="Q19" s="256">
        <f t="array" ref="Q19">+INDEX('Réel 2024'!$A$2:$AO$501,MATCH($A19,'Réel 2024'!$A$2:$A$501,0),MATCH(Q$2,'Réel 2024'!$A$2:$AO$2,0))</f>
        <v>10000</v>
      </c>
      <c r="R19" s="255">
        <f>O19-K19</f>
        <v>0</v>
      </c>
      <c r="S19" s="256">
        <f>L19-Q19</f>
        <v>2602.3499999999767</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3650</v>
      </c>
      <c r="G21" s="255"/>
      <c r="H21" s="254"/>
      <c r="I21" s="254"/>
      <c r="J21" s="255"/>
      <c r="K21" s="254">
        <f>IF(J13=0,0,L21/(J13+J15))</f>
        <v>7.4635802469135797</v>
      </c>
      <c r="L21" s="256">
        <f>-SUMIFS(BV_Data_An_Cour!$O:$O,BV_Data_An_Cour!$U:$U,$B21,BV_Data_An_Cour!$V:$V,$C21,BV_Data_An_Cour!$W:$W,L$2)</f>
        <v>604.54999999999995</v>
      </c>
      <c r="M21" s="255"/>
      <c r="N21" s="256">
        <f>L21-F21</f>
        <v>-3045.45</v>
      </c>
      <c r="O21" s="255"/>
      <c r="P21" s="254"/>
      <c r="Q21" s="256">
        <f t="array" ref="Q21">+INDEX('Réel 2024'!$A$2:$AO$501,MATCH($A21,'Réel 2024'!$A$2:$A$501,0),MATCH(Q$2,'Réel 2024'!$A$2:$AO$2,0))</f>
        <v>0</v>
      </c>
      <c r="R21" s="255">
        <f t="shared" ref="R21:R23" si="12">O21-K21</f>
        <v>-7.4635802469135797</v>
      </c>
      <c r="S21" s="256">
        <f t="shared" ref="S21:S24" si="13">L21-Q21</f>
        <v>604.54999999999995</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67890</v>
      </c>
      <c r="G22" s="255"/>
      <c r="H22" s="254"/>
      <c r="I22" s="254"/>
      <c r="J22" s="255"/>
      <c r="K22" s="254">
        <f>IF(J13=0,0,L22/(J13+J15))</f>
        <v>985.36333333333323</v>
      </c>
      <c r="L22" s="256">
        <f>-SUMIFS(BV_Data_An_Cour!$O:$O,BV_Data_An_Cour!$U:$U,$B22,BV_Data_An_Cour!$V:$V,$C22,BV_Data_An_Cour!$W:$W,L$2)</f>
        <v>79814.429999999993</v>
      </c>
      <c r="M22" s="255"/>
      <c r="N22" s="256">
        <f>L22-F22</f>
        <v>11924.429999999993</v>
      </c>
      <c r="O22" s="255"/>
      <c r="P22" s="254"/>
      <c r="Q22" s="256">
        <f t="array" ref="Q22">+INDEX('Réel 2024'!$A$2:$AO$501,MATCH($A22,'Réel 2024'!$A$2:$A$501,0),MATCH(Q$2,'Réel 2024'!$A$2:$AO$2,0))</f>
        <v>60986.879999999997</v>
      </c>
      <c r="R22" s="255">
        <f t="shared" si="12"/>
        <v>-985.36333333333323</v>
      </c>
      <c r="S22" s="256">
        <f t="shared" si="13"/>
        <v>18827.549999999996</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1460</v>
      </c>
      <c r="G23" s="255"/>
      <c r="H23" s="254"/>
      <c r="I23" s="254"/>
      <c r="J23" s="255"/>
      <c r="K23" s="254">
        <f>IF(J13=0,0,L23/(J13+J15))</f>
        <v>2.3029629629629627</v>
      </c>
      <c r="L23" s="256">
        <f>-SUMIFS(BV_Data_An_Cour!$O:$O,BV_Data_An_Cour!$U:$U,$B23,BV_Data_An_Cour!$V:$V,$C23,BV_Data_An_Cour!$W:$W,L$2)</f>
        <v>186.54</v>
      </c>
      <c r="M23" s="267"/>
      <c r="N23" s="256">
        <f>L23-F23</f>
        <v>-1273.46</v>
      </c>
      <c r="O23" s="255"/>
      <c r="P23" s="254"/>
      <c r="Q23" s="256">
        <f t="array" ref="Q23">+INDEX('Réel 2024'!$A$2:$AO$501,MATCH($A23,'Réel 2024'!$A$2:$A$501,0),MATCH(Q$2,'Réel 2024'!$A$2:$AO$2,0))</f>
        <v>569.82000000000005</v>
      </c>
      <c r="R23" s="255">
        <f t="shared" si="12"/>
        <v>-2.3029629629629627</v>
      </c>
      <c r="S23" s="256">
        <f t="shared" si="13"/>
        <v>-383.28000000000009</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73</v>
      </c>
      <c r="E24" s="260">
        <f>IF(D24&lt;=0,0,F24/D24)</f>
        <v>1000</v>
      </c>
      <c r="F24" s="261">
        <f>F21+F22+F23</f>
        <v>73000</v>
      </c>
      <c r="G24" s="262"/>
      <c r="H24" s="260"/>
      <c r="I24" s="261"/>
      <c r="J24" s="262">
        <f>+J15+J13</f>
        <v>81</v>
      </c>
      <c r="K24" s="260">
        <f>IF(J24&lt;=0,0,L24/J24)</f>
        <v>995.12987654320978</v>
      </c>
      <c r="L24" s="261">
        <f>L21+L22+L23</f>
        <v>80605.51999999999</v>
      </c>
      <c r="M24" s="275">
        <f>J24-D24</f>
        <v>8</v>
      </c>
      <c r="N24" s="261">
        <f>L24-F24</f>
        <v>7605.5199999999895</v>
      </c>
      <c r="O24" s="262">
        <f>+O15+O13</f>
        <v>80</v>
      </c>
      <c r="P24" s="260">
        <f>IF(O24&lt;=0,0,Q24/O24)</f>
        <v>769.45875000000001</v>
      </c>
      <c r="Q24" s="261">
        <f>Q21+Q22+Q23</f>
        <v>61556.7</v>
      </c>
      <c r="R24" s="273"/>
      <c r="S24" s="261">
        <f t="shared" si="13"/>
        <v>19048.819999999992</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0.10418520547945191</v>
      </c>
      <c r="O25" s="253"/>
      <c r="P25" s="41"/>
      <c r="Q25" s="276"/>
      <c r="R25" s="277"/>
      <c r="S25" s="265">
        <f>IF(Q24=0,0,(S24/Q24))</f>
        <v>0.30945161127870718</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75</v>
      </c>
      <c r="E27" s="280">
        <f>IF(D27&lt;=0,0,F27/D27)</f>
        <v>3339.8837452111948</v>
      </c>
      <c r="F27" s="281">
        <f>F13+F17+F24+F19+F15</f>
        <v>250491.28089083961</v>
      </c>
      <c r="G27" s="282"/>
      <c r="H27" s="280"/>
      <c r="I27" s="281"/>
      <c r="J27" s="282">
        <f>+J13+J15+J17</f>
        <v>81</v>
      </c>
      <c r="K27" s="280">
        <f>IF(J27&lt;=0,0,L27/J27)</f>
        <v>3311.6235802469164</v>
      </c>
      <c r="L27" s="281">
        <f>L13+L17+L24+L19+L15</f>
        <v>268241.51000000024</v>
      </c>
      <c r="M27" s="282">
        <f>J27-D27</f>
        <v>6</v>
      </c>
      <c r="N27" s="281">
        <f>L27-F27</f>
        <v>17750.229109160631</v>
      </c>
      <c r="O27" s="282">
        <f>+O13+O15+O17</f>
        <v>85</v>
      </c>
      <c r="P27" s="280">
        <f>IF(O27&lt;=0,0,Q27/O27)</f>
        <v>2990.2515294117516</v>
      </c>
      <c r="Q27" s="281">
        <f>Q13+Q17+Q24+Q19+Q15</f>
        <v>254171.3799999989</v>
      </c>
      <c r="R27" s="282">
        <f>J27-O27</f>
        <v>-4</v>
      </c>
      <c r="S27" s="281">
        <f>L27-Q27</f>
        <v>14070.130000001343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88"/>
      <c r="L28" s="950">
        <f>L27/F27</f>
        <v>1.0708616645099751</v>
      </c>
      <c r="M28" s="286">
        <f>M27/D27</f>
        <v>0.08</v>
      </c>
      <c r="N28" s="287">
        <f>N27/F27</f>
        <v>7.0861664509975178E-2</v>
      </c>
      <c r="O28" s="283"/>
      <c r="P28" s="284"/>
      <c r="Q28" s="285"/>
      <c r="R28" s="286">
        <f>R27/O27</f>
        <v>-4.7058823529411764E-2</v>
      </c>
      <c r="S28" s="287">
        <f>IF(Q27=0,0,S27/Q27)</f>
        <v>5.5356861972427437E-2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0.32512203902136383</v>
      </c>
      <c r="E31" s="291">
        <f t="shared" ref="E31:E36" si="14">F31/D$24</f>
        <v>735.10349847945918</v>
      </c>
      <c r="F31" s="254">
        <f>+INDEX('Budget original'!$A$2:$AO$501,MATCH($A31,'Budget original'!$A$2:$A$501,0),MATCH(F$2,'Budget original'!$A$2:$AO$2,0))</f>
        <v>53662.555389000518</v>
      </c>
      <c r="G31" s="292"/>
      <c r="H31" s="291"/>
      <c r="I31" s="254"/>
      <c r="J31" s="292">
        <f>L31/(L15+L13+L17)</f>
        <v>0.2987177779082919</v>
      </c>
      <c r="K31" s="291">
        <f t="shared" ref="K31:K40" si="15">IF(L31=0,0,L31/J$24)</f>
        <v>645.50197530864205</v>
      </c>
      <c r="L31" s="254">
        <f>SUMIFS(BV_Data_An_Cour!$O:$O,BV_Data_An_Cour!$U:$U,$B31,BV_Data_An_Cour!$V:$V,$C31,BV_Data_An_Cour!$W:$W,L$2)</f>
        <v>52285.66</v>
      </c>
      <c r="M31" s="253"/>
      <c r="N31" s="276">
        <f t="shared" ref="N31:N53" si="16">L31-F31</f>
        <v>-1376.8953890005141</v>
      </c>
      <c r="O31" s="1145">
        <f>Q31/(Q13+Q15+Q17)</f>
        <v>0.31203959068351106</v>
      </c>
      <c r="P31" s="291">
        <f t="shared" ref="P31:P40" si="17">Q31/O$24</f>
        <v>712.28762500000005</v>
      </c>
      <c r="Q31" s="256">
        <f t="array" ref="Q31">+INDEX('Réel 2024'!$A$2:$AO$501,MATCH($A31,'Réel 2024'!$A$2:$A$501,0),MATCH(Q$2,'Réel 2024'!$A$2:$AO$2,0))</f>
        <v>56983.01</v>
      </c>
      <c r="R31" s="253"/>
      <c r="S31" s="276">
        <f t="shared" ref="S31:S53" si="18">L31-Q31</f>
        <v>-4697.3499999999985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0.28000000000000003</v>
      </c>
      <c r="E32" s="294">
        <f t="shared" si="14"/>
        <v>280.00000000000006</v>
      </c>
      <c r="F32" s="248">
        <f>+INDEX('Budget original'!$A$2:$AO$501,MATCH($A32,'Budget original'!$A$2:$A$501,0),MATCH(F$2,'Budget original'!$A$2:$AO$2,0))</f>
        <v>20440.000000000004</v>
      </c>
      <c r="G32" s="295"/>
      <c r="H32" s="294"/>
      <c r="I32" s="248"/>
      <c r="J32" s="295">
        <f>L32/L24</f>
        <v>0.25000198497571885</v>
      </c>
      <c r="K32" s="294">
        <f t="shared" si="15"/>
        <v>248.78444444444446</v>
      </c>
      <c r="L32" s="248">
        <f>SUMIFS(BV_Data_An_Cour!$O:$O,BV_Data_An_Cour!$U:$U,$B32,BV_Data_An_Cour!$V:$V,$C32,BV_Data_An_Cour!$W:$W,L$2)</f>
        <v>20151.54</v>
      </c>
      <c r="M32" s="246"/>
      <c r="N32" s="296">
        <f t="shared" si="16"/>
        <v>-288.46000000000276</v>
      </c>
      <c r="O32" s="1146">
        <f>Q32/Q24</f>
        <v>0.26999709211182538</v>
      </c>
      <c r="P32" s="294">
        <f t="shared" si="17"/>
        <v>207.75162500000002</v>
      </c>
      <c r="Q32" s="248">
        <f t="array" ref="Q32">+INDEX('Réel 2024'!$A$2:$AO$501,MATCH($A32,'Réel 2024'!$A$2:$A$501,0),MATCH(Q$2,'Réel 2024'!$A$2:$AO$2,0))</f>
        <v>16620.13</v>
      </c>
      <c r="R32" s="246"/>
      <c r="S32" s="296">
        <f t="shared" si="18"/>
        <v>3531.41</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8395</v>
      </c>
      <c r="G33" s="298"/>
      <c r="H33" s="291"/>
      <c r="I33" s="254"/>
      <c r="J33" s="253"/>
      <c r="K33" s="291">
        <f t="shared" si="15"/>
        <v>112.60814814814815</v>
      </c>
      <c r="L33" s="254">
        <f>SUMIFS(BV_Data_An_Cour!$O:$O,BV_Data_An_Cour!$U:$U,$B33,BV_Data_An_Cour!$V:$V,$C33,BV_Data_An_Cour!$W:$W,L$2)</f>
        <v>9121.26</v>
      </c>
      <c r="M33" s="253"/>
      <c r="N33" s="276">
        <f t="shared" si="16"/>
        <v>726.26000000000022</v>
      </c>
      <c r="O33" s="253"/>
      <c r="P33" s="291">
        <f t="shared" si="17"/>
        <v>95.092999999999989</v>
      </c>
      <c r="Q33" s="256">
        <f t="array" ref="Q33">+INDEX('Réel 2024'!$A$2:$AO$501,MATCH($A33,'Réel 2024'!$A$2:$A$501,0),MATCH(Q$2,'Réel 2024'!$A$2:$AO$2,0))</f>
        <v>7607.44</v>
      </c>
      <c r="R33" s="253"/>
      <c r="S33" s="276">
        <f t="shared" si="18"/>
        <v>1513.8200000000006</v>
      </c>
      <c r="T33" s="41"/>
      <c r="U33" s="1195"/>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10</v>
      </c>
      <c r="F34" s="254">
        <f>+INDEX('Budget original'!$A$2:$AO$501,MATCH($A34,'Budget original'!$A$2:$A$501,0),MATCH(F$2,'Budget original'!$A$2:$AO$2,0))</f>
        <v>730</v>
      </c>
      <c r="G34" s="298"/>
      <c r="H34" s="291"/>
      <c r="I34" s="254"/>
      <c r="J34" s="253"/>
      <c r="K34" s="291">
        <f t="shared" si="15"/>
        <v>0</v>
      </c>
      <c r="L34" s="254">
        <f>SUMIFS(BV_Data_An_Cour!$O:$O,BV_Data_An_Cour!$U:$U,$B34,BV_Data_An_Cour!$V:$V,$C34,BV_Data_An_Cour!$W:$W,L$2)</f>
        <v>0</v>
      </c>
      <c r="M34" s="253"/>
      <c r="N34" s="276">
        <f t="shared" si="16"/>
        <v>-730</v>
      </c>
      <c r="O34" s="253"/>
      <c r="P34" s="291">
        <f t="shared" si="17"/>
        <v>33.065624999999997</v>
      </c>
      <c r="Q34" s="256">
        <f t="array" ref="Q34">+INDEX('Réel 2024'!$A$2:$AO$501,MATCH($A34,'Réel 2024'!$A$2:$A$501,0),MATCH(Q$2,'Réel 2024'!$A$2:$AO$2,0))</f>
        <v>2645.25</v>
      </c>
      <c r="R34" s="253"/>
      <c r="S34" s="276">
        <f t="shared" si="18"/>
        <v>-2645.25</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120.75</v>
      </c>
      <c r="F35" s="248">
        <f>+INDEX('Budget original'!$A$2:$AO$501,MATCH($A35,'Budget original'!$A$2:$A$501,0),MATCH(F$2,'Budget original'!$A$2:$AO$2,0))</f>
        <v>8814.75</v>
      </c>
      <c r="G35" s="300"/>
      <c r="H35" s="294"/>
      <c r="I35" s="248"/>
      <c r="J35" s="246"/>
      <c r="K35" s="294">
        <f t="shared" si="15"/>
        <v>43.995185185185186</v>
      </c>
      <c r="L35" s="248">
        <f>SUMIFS(BV_Data_An_Cour!$O:$O,BV_Data_An_Cour!$U:$U,$B35,BV_Data_An_Cour!$V:$V,$C35,BV_Data_An_Cour!$W:$W,L$2)</f>
        <v>3563.61</v>
      </c>
      <c r="M35" s="246"/>
      <c r="N35" s="296">
        <f t="shared" si="16"/>
        <v>-5251.1399999999994</v>
      </c>
      <c r="O35" s="246"/>
      <c r="P35" s="294">
        <f t="shared" si="17"/>
        <v>79.675375000000003</v>
      </c>
      <c r="Q35" s="256">
        <f t="array" ref="Q35">+INDEX('Réel 2024'!$A$2:$AO$501,MATCH($A35,'Réel 2024'!$A$2:$A$501,0),MATCH(Q$2,'Réel 2024'!$A$2:$AO$2,0))</f>
        <v>6374.03</v>
      </c>
      <c r="R35" s="246"/>
      <c r="S35" s="296">
        <f t="shared" si="18"/>
        <v>-2810.4199999999996</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57.013698630136986</v>
      </c>
      <c r="F36" s="254">
        <f>+INDEX('Budget original'!$A$2:$AO$501,MATCH($A36,'Budget original'!$A$2:$A$501,0),MATCH(F$2,'Budget original'!$A$2:$AO$2,0))</f>
        <v>4162</v>
      </c>
      <c r="G36" s="298"/>
      <c r="H36" s="291"/>
      <c r="I36" s="254"/>
      <c r="J36" s="253"/>
      <c r="K36" s="291">
        <f t="shared" si="15"/>
        <v>45.389259259259269</v>
      </c>
      <c r="L36" s="301">
        <f>SUMIFS(BV_Data_An_Cour!$O:$O,BV_Data_An_Cour!$U:$U,$B36,BV_Data_An_Cour!$V:$V,$C36,BV_Data_An_Cour!$W:$W,L$2)</f>
        <v>3676.5300000000007</v>
      </c>
      <c r="M36" s="41"/>
      <c r="N36" s="276">
        <f t="shared" si="16"/>
        <v>-485.46999999999935</v>
      </c>
      <c r="O36" s="253"/>
      <c r="P36" s="291">
        <f t="shared" si="17"/>
        <v>39.759500000000003</v>
      </c>
      <c r="Q36" s="272">
        <f t="array" ref="Q36">+INDEX('Réel 2024'!$A$2:$AO$501,MATCH($A36,'Réel 2024'!$A$2:$A$501,0),MATCH(Q$2,'Réel 2024'!$A$2:$AO$2,0))</f>
        <v>3180.76</v>
      </c>
      <c r="R36" s="253"/>
      <c r="S36" s="276">
        <f t="shared" si="18"/>
        <v>495.77000000000044</v>
      </c>
      <c r="T36" s="41"/>
      <c r="U36" s="1189"/>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560.02012568812097</v>
      </c>
      <c r="F37" s="254">
        <f>+INDEX('Budget original'!$A$2:$AO$501,MATCH($A37,'Budget original'!$A$2:$A$501,0),MATCH(F$2,'Budget original'!$A$2:$AO$2,0))</f>
        <v>40881.469175232829</v>
      </c>
      <c r="G37" s="298"/>
      <c r="H37" s="291"/>
      <c r="I37" s="254"/>
      <c r="J37" s="253"/>
      <c r="K37" s="291">
        <f t="shared" si="15"/>
        <v>273.39222222222224</v>
      </c>
      <c r="L37" s="951">
        <f>SUMIFS(BV_Data_An_Cour!$O:$O,BV_Data_An_Cour!$U:$U,$B37,BV_Data_An_Cour!$V:$V,$C37,BV_Data_An_Cour!$W:$W,L$2)</f>
        <v>22144.77</v>
      </c>
      <c r="M37" s="41"/>
      <c r="N37" s="961">
        <f t="shared" si="16"/>
        <v>-18736.699175232829</v>
      </c>
      <c r="O37" s="253"/>
      <c r="P37" s="291">
        <f t="shared" si="17"/>
        <v>565.70337499999994</v>
      </c>
      <c r="Q37" s="256">
        <f t="array" ref="Q37">+INDEX('Réel 2024'!$A$2:$AO$501,MATCH($A37,'Réel 2024'!$A$2:$A$501,0),MATCH(Q$2,'Réel 2024'!$A$2:$AO$2,0))</f>
        <v>45256.27</v>
      </c>
      <c r="R37" s="253"/>
      <c r="S37" s="276">
        <f t="shared" si="18"/>
        <v>-23111.499999999996</v>
      </c>
      <c r="T37" s="41"/>
      <c r="U37" s="1207"/>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2024'!$A$2:$AO$501,MATCH($A38,'Réel 2024'!$A$2:$A$501,0),MATCH(Q$2,'Réel 2024'!$A$2:$AO$2,0))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2024'!$A$2:$AO$501,MATCH($A39,'Réel 2024'!$A$2:$A$501,0),MATCH(Q$2,'Réel 2024'!$A$2:$AO$2,0))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2024'!$A$2:$AO$501,MATCH($A40,'Réel 2024'!$A$2:$A$501,0),MATCH(Q$2,'Réel 2024'!$A$2:$AO$2,0))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0.54726764970303821</v>
      </c>
      <c r="F41" s="307">
        <f>SUM(F31:F40)</f>
        <v>137085.77456423335</v>
      </c>
      <c r="G41" s="308"/>
      <c r="H41" s="306"/>
      <c r="I41" s="307"/>
      <c r="J41" s="308" t="s">
        <v>119</v>
      </c>
      <c r="K41" s="306">
        <f>L41/L$27</f>
        <v>0.41359508451917049</v>
      </c>
      <c r="L41" s="307">
        <f>SUM(L31:L40)</f>
        <v>110943.37000000001</v>
      </c>
      <c r="M41" s="309"/>
      <c r="N41" s="307">
        <f t="shared" si="16"/>
        <v>-26142.404564233337</v>
      </c>
      <c r="O41" s="308" t="s">
        <v>119</v>
      </c>
      <c r="P41" s="306">
        <f>Q41/Q$27</f>
        <v>0.54556453208854827</v>
      </c>
      <c r="Q41" s="310">
        <f>SUM(Q31:Q40)</f>
        <v>138666.88999999998</v>
      </c>
      <c r="R41" s="311"/>
      <c r="S41" s="307">
        <f t="shared" si="18"/>
        <v>-27723.519999999975</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24486.465384615389</v>
      </c>
      <c r="G42" s="253"/>
      <c r="H42" s="41"/>
      <c r="I42" s="254"/>
      <c r="J42" s="253"/>
      <c r="K42" s="41"/>
      <c r="L42" s="256">
        <f>SUMIFS(BV_Data_An_Cour!$O:$O,BV_Data_An_Cour!$U:$U,$B42,BV_Data_An_Cour!$V:$V,$C42,BV_Data_An_Cour!$W:$W,L$2)</f>
        <v>21170.97</v>
      </c>
      <c r="M42" s="253"/>
      <c r="N42" s="276">
        <f t="shared" si="16"/>
        <v>-3315.4953846153876</v>
      </c>
      <c r="O42" s="253"/>
      <c r="P42" s="1144">
        <f>Q42/Q27</f>
        <v>6.2411747538216419E-2</v>
      </c>
      <c r="Q42" s="256">
        <f t="array" ref="Q42">+INDEX('Réel 2024'!$A$2:$AO$501,MATCH($A42,'Réel 2024'!$A$2:$A$501,0),MATCH(Q$2,'Réel 2024'!$A$2:$AO$2,0))</f>
        <v>15863.28</v>
      </c>
      <c r="R42" s="253"/>
      <c r="S42" s="276">
        <f t="shared" si="18"/>
        <v>5307.6900000000005</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13904.219076923078</v>
      </c>
      <c r="G43" s="298"/>
      <c r="H43" s="41"/>
      <c r="I43" s="248"/>
      <c r="J43" s="253"/>
      <c r="K43" s="41"/>
      <c r="L43" s="256">
        <f>SUMIFS(BV_Data_An_Cour!$O:$O,BV_Data_An_Cour!$U:$U,$B43,BV_Data_An_Cour!$V:$V,$C43,BV_Data_An_Cour!$W:$W,L$2)</f>
        <v>11846.53</v>
      </c>
      <c r="M43" s="253"/>
      <c r="N43" s="276">
        <f t="shared" si="16"/>
        <v>-2057.6890769230777</v>
      </c>
      <c r="O43" s="253"/>
      <c r="P43" s="41"/>
      <c r="Q43" s="256">
        <f t="array" ref="Q43">+INDEX('Réel 2024'!$A$2:$AO$501,MATCH($A43,'Réel 2024'!$A$2:$A$501,0),MATCH(Q$2,'Réel 2024'!$A$2:$AO$2,0))</f>
        <v>8318.4599999999991</v>
      </c>
      <c r="R43" s="253"/>
      <c r="S43" s="276">
        <f t="shared" si="18"/>
        <v>3528.0700000000015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315.55384615384617</v>
      </c>
      <c r="G44" s="316"/>
      <c r="H44" s="315"/>
      <c r="I44" s="254"/>
      <c r="J44" s="241"/>
      <c r="K44" s="315"/>
      <c r="L44" s="272">
        <f>SUMIFS(BV_Data_An_Cour!$O:$O,BV_Data_An_Cour!$U:$U,$B44,BV_Data_An_Cour!$V:$V,$C44,BV_Data_An_Cour!$W:$W,L$2)</f>
        <v>1963.25</v>
      </c>
      <c r="M44" s="241"/>
      <c r="N44" s="317">
        <f t="shared" si="16"/>
        <v>1647.6961538461537</v>
      </c>
      <c r="O44" s="241"/>
      <c r="P44" s="315"/>
      <c r="Q44" s="272">
        <f t="array" ref="Q44">+INDEX('Réel 2024'!$A$2:$AO$501,MATCH($A44,'Réel 2024'!$A$2:$A$501,0),MATCH(Q$2,'Réel 2024'!$A$2:$AO$2,0))</f>
        <v>2420.59</v>
      </c>
      <c r="R44" s="241"/>
      <c r="S44" s="317">
        <f t="shared" si="18"/>
        <v>-457.34000000000015</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2024'!$A$2:$AO$501,MATCH($A45,'Réel 2024'!$A$2:$A$501,0),MATCH(Q$2,'Réel 2024'!$A$2:$AO$2,0))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2024'!$A$2:$AO$501,MATCH($A46,'Réel 2024'!$A$2:$A$501,0),MATCH(Q$2,'Réel 2024'!$A$2:$AO$2,0))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2024'!$A$2:$AO$501,MATCH($A47,'Réel 2024'!$A$2:$A$501,0),MATCH(Q$2,'Réel 2024'!$A$2:$AO$2,0))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2024'!$A$2:$AO$501,MATCH($A48,'Réel 2024'!$A$2:$A$501,0),MATCH(Q$2,'Réel 2024'!$A$2:$AO$2,0))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11796.070671764297</v>
      </c>
      <c r="G49" s="298"/>
      <c r="H49" s="41"/>
      <c r="I49" s="248"/>
      <c r="J49" s="253"/>
      <c r="K49" s="41"/>
      <c r="L49" s="248">
        <f>SUMIFS(BV_Data_An_Cour!$O:$O,BV_Data_An_Cour!$U:$U,$B49,BV_Data_An_Cour!$V:$V,$C49,BV_Data_An_Cour!$W:$W,L$2)</f>
        <v>10866.84</v>
      </c>
      <c r="M49" s="253"/>
      <c r="N49" s="276">
        <f t="shared" si="16"/>
        <v>-929.23067176429686</v>
      </c>
      <c r="O49" s="253"/>
      <c r="P49" s="41"/>
      <c r="Q49" s="248">
        <f t="array" ref="Q49">+INDEX('Réel 2024'!$A$2:$AO$501,MATCH($A49,'Réel 2024'!$A$2:$A$501,0),MATCH(Q$2,'Réel 2024'!$A$2:$AO$2,0))</f>
        <v>10664.1</v>
      </c>
      <c r="R49" s="253"/>
      <c r="S49" s="276">
        <f t="shared" si="18"/>
        <v>202.73999999999978</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14342.359054656152</v>
      </c>
      <c r="G50" s="316"/>
      <c r="H50" s="315"/>
      <c r="I50" s="254"/>
      <c r="J50" s="241"/>
      <c r="K50" s="315"/>
      <c r="L50" s="256">
        <f>SUMIFS(BV_Data_An_Cour!$O:$O,BV_Data_An_Cour!$U:$U,$B50,BV_Data_An_Cour!$V:$V,$C50,BV_Data_An_Cour!$W:$W,L$2)</f>
        <v>13752.02</v>
      </c>
      <c r="M50" s="241"/>
      <c r="N50" s="317">
        <f t="shared" si="16"/>
        <v>-590.33905465615135</v>
      </c>
      <c r="O50" s="241"/>
      <c r="P50" s="315"/>
      <c r="Q50" s="256">
        <f t="array" ref="Q50">+INDEX('Réel 2024'!$A$2:$AO$501,MATCH($A50,'Réel 2024'!$A$2:$A$501,0),MATCH(Q$2,'Réel 2024'!$A$2:$AO$2,0))</f>
        <v>12553.25</v>
      </c>
      <c r="R50" s="241"/>
      <c r="S50" s="317">
        <f t="shared" si="18"/>
        <v>1198.7700000000004</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7389.4328172902333</v>
      </c>
      <c r="G51" s="298"/>
      <c r="H51" s="41"/>
      <c r="I51" s="254"/>
      <c r="J51" s="253"/>
      <c r="K51" s="41"/>
      <c r="L51" s="256">
        <f>SUMIFS(BV_Data_An_Cour!$O:$O,BV_Data_An_Cour!$U:$U,$B51,BV_Data_An_Cour!$V:$V,$C51,BV_Data_An_Cour!$W:$W,L$2)</f>
        <v>7178.18</v>
      </c>
      <c r="M51" s="253"/>
      <c r="N51" s="276">
        <f t="shared" si="16"/>
        <v>-211.252817290233</v>
      </c>
      <c r="O51" s="253"/>
      <c r="P51" s="41"/>
      <c r="Q51" s="256">
        <f t="array" ref="Q51">+INDEX('Réel 2024'!$A$2:$AO$501,MATCH($A51,'Réel 2024'!$A$2:$A$501,0),MATCH(Q$2,'Réel 2024'!$A$2:$AO$2,0))</f>
        <v>7041.73</v>
      </c>
      <c r="R51" s="253"/>
      <c r="S51" s="276">
        <f t="shared" si="18"/>
        <v>136.45000000000073</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3221.8342803937726</v>
      </c>
      <c r="G52" s="298"/>
      <c r="H52" s="41"/>
      <c r="I52" s="254"/>
      <c r="J52" s="253"/>
      <c r="K52" s="41"/>
      <c r="L52" s="256">
        <f>SUMIFS(BV_Data_An_Cour!$O:$O,BV_Data_An_Cour!$U:$U,$B52,BV_Data_An_Cour!$V:$V,$C52,BV_Data_An_Cour!$W:$W,L$2)</f>
        <v>3241.11</v>
      </c>
      <c r="M52" s="253"/>
      <c r="N52" s="276">
        <f t="shared" si="16"/>
        <v>19.27571960622754</v>
      </c>
      <c r="O52" s="253"/>
      <c r="P52" s="41"/>
      <c r="Q52" s="256">
        <f t="array" ref="Q52">+INDEX('Réel 2024'!$A$2:$AO$501,MATCH($A52,'Réel 2024'!$A$2:$A$501,0),MATCH(Q$2,'Réel 2024'!$A$2:$AO$2,0))</f>
        <v>1892.71</v>
      </c>
      <c r="R52" s="253"/>
      <c r="S52" s="276">
        <f t="shared" si="18"/>
        <v>1348.4</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2024'!$A$2:$AO$501,MATCH($A53,'Réel 2024'!$A$2:$A$501,0),MATCH(Q$2,'Réel 2024'!$A$2:$AO$2,0))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0.30123178285267083</v>
      </c>
      <c r="F54" s="307">
        <f>+SUM(F42:F53)</f>
        <v>75455.935131796767</v>
      </c>
      <c r="G54" s="308"/>
      <c r="H54" s="306"/>
      <c r="I54" s="307"/>
      <c r="J54" s="308" t="s">
        <v>119</v>
      </c>
      <c r="K54" s="306">
        <f>L54/L$27</f>
        <v>0.26102932391038192</v>
      </c>
      <c r="L54" s="307">
        <f>+SUM(L42:L53)</f>
        <v>70018.900000000009</v>
      </c>
      <c r="M54" s="311"/>
      <c r="N54" s="307">
        <f>+SUM(N42:N53)</f>
        <v>-5437.0351317967652</v>
      </c>
      <c r="O54" s="308" t="s">
        <v>119</v>
      </c>
      <c r="P54" s="306">
        <f>Q54/Q$27</f>
        <v>0.23115946413793817</v>
      </c>
      <c r="Q54" s="307">
        <f>+SUM(Q42:Q53)</f>
        <v>58754.12</v>
      </c>
      <c r="R54" s="311"/>
      <c r="S54" s="307">
        <f>+SUM(S42:S53)</f>
        <v>11264.780000000002</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2024'!$A$2:$AO$501,MATCH($A55,'Réel 2024'!$A$2:$A$501,0),MATCH(Q$2,'Réel 2024'!$A$2:$AO$2,0))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2024'!$A$2:$AO$501,MATCH($A56,'Réel 2024'!$A$2:$A$501,0),MATCH(Q$2,'Réel 2024'!$A$2:$AO$2,0))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8952.5479333333333</v>
      </c>
      <c r="G57" s="300"/>
      <c r="H57" s="318"/>
      <c r="I57" s="248"/>
      <c r="J57" s="246"/>
      <c r="K57" s="318"/>
      <c r="L57" s="248">
        <f>SUMIFS(BV_Data_An_Cour!$O:$O,BV_Data_An_Cour!$U:$U,$B57,BV_Data_An_Cour!$V:$V,$C57,BV_Data_An_Cour!$W:$W,L$2)</f>
        <v>7490.62</v>
      </c>
      <c r="M57" s="246"/>
      <c r="N57" s="296">
        <f t="shared" si="19"/>
        <v>-1461.9279333333334</v>
      </c>
      <c r="O57" s="246"/>
      <c r="P57" s="318"/>
      <c r="Q57" s="248">
        <f t="array" ref="Q57">+INDEX('Réel 2024'!$A$2:$AO$501,MATCH($A57,'Réel 2024'!$A$2:$A$501,0),MATCH(Q$2,'Réel 2024'!$A$2:$AO$2,0))</f>
        <v>9199.43</v>
      </c>
      <c r="R57" s="246"/>
      <c r="S57" s="296">
        <f t="shared" si="20"/>
        <v>-1708.8100000000004</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7960.9947585155569</v>
      </c>
      <c r="G58" s="298"/>
      <c r="H58" s="41"/>
      <c r="I58" s="254"/>
      <c r="J58" s="253"/>
      <c r="K58" s="41"/>
      <c r="L58" s="256">
        <f>SUMIFS(BV_Data_An_Cour!$O:$O,BV_Data_An_Cour!$U:$U,$B58,BV_Data_An_Cour!$V:$V,$C58,BV_Data_An_Cour!$W:$W,L$2)</f>
        <v>7652.37</v>
      </c>
      <c r="M58" s="253"/>
      <c r="N58" s="276">
        <f t="shared" si="19"/>
        <v>-308.62475851555701</v>
      </c>
      <c r="O58" s="253"/>
      <c r="P58" s="41"/>
      <c r="Q58" s="256">
        <f t="array" ref="Q58">+INDEX('Réel 2024'!$A$2:$AO$501,MATCH($A58,'Réel 2024'!$A$2:$A$501,0),MATCH(Q$2,'Réel 2024'!$A$2:$AO$2,0))</f>
        <v>5972.42</v>
      </c>
      <c r="R58" s="253"/>
      <c r="S58" s="276">
        <f t="shared" si="20"/>
        <v>1679.9499999999998</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1266.6975008629806</v>
      </c>
      <c r="G59" s="298"/>
      <c r="H59" s="41"/>
      <c r="I59" s="254"/>
      <c r="J59" s="253"/>
      <c r="K59" s="41"/>
      <c r="L59" s="256">
        <f>SUMIFS(BV_Data_An_Cour!$O:$O,BV_Data_An_Cour!$U:$U,$B59,BV_Data_An_Cour!$V:$V,$C59,BV_Data_An_Cour!$W:$W,L$2)</f>
        <v>1293.58</v>
      </c>
      <c r="M59" s="253"/>
      <c r="N59" s="276">
        <f t="shared" si="19"/>
        <v>26.882499137019295</v>
      </c>
      <c r="O59" s="253"/>
      <c r="P59" s="41"/>
      <c r="Q59" s="256">
        <f t="array" ref="Q59">+INDEX('Réel 2024'!$A$2:$AO$501,MATCH($A59,'Réel 2024'!$A$2:$A$501,0),MATCH(Q$2,'Réel 2024'!$A$2:$AO$2,0))</f>
        <v>1613.78</v>
      </c>
      <c r="R59" s="253"/>
      <c r="S59" s="276">
        <f t="shared" si="20"/>
        <v>-320.20000000000005</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7215.7407235875298</v>
      </c>
      <c r="G60" s="300"/>
      <c r="H60" s="318"/>
      <c r="I60" s="248"/>
      <c r="J60" s="246"/>
      <c r="K60" s="318"/>
      <c r="L60" s="248">
        <f>SUMIFS(BV_Data_An_Cour!$O:$O,BV_Data_An_Cour!$U:$U,$B60,BV_Data_An_Cour!$V:$V,$C60,BV_Data_An_Cour!$W:$W,L$2)</f>
        <v>8436.09</v>
      </c>
      <c r="M60" s="246"/>
      <c r="N60" s="296">
        <f t="shared" si="19"/>
        <v>1220.3492764124703</v>
      </c>
      <c r="O60" s="246"/>
      <c r="P60" s="318"/>
      <c r="Q60" s="248">
        <f t="array" ref="Q60">+INDEX('Réel 2024'!$A$2:$AO$501,MATCH($A60,'Réel 2024'!$A$2:$A$501,0),MATCH(Q$2,'Réel 2024'!$A$2:$AO$2,0))</f>
        <v>7694.41</v>
      </c>
      <c r="R60" s="246"/>
      <c r="S60" s="296">
        <f t="shared" si="20"/>
        <v>741.68000000000029</v>
      </c>
      <c r="T60" s="41"/>
      <c r="U60" s="38"/>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97.257333333333349</v>
      </c>
      <c r="G61" s="298"/>
      <c r="H61" s="41"/>
      <c r="I61" s="254"/>
      <c r="J61" s="253"/>
      <c r="K61" s="41"/>
      <c r="L61" s="256">
        <f>SUMIFS(BV_Data_An_Cour!$O:$O,BV_Data_An_Cour!$U:$U,$B61,BV_Data_An_Cour!$V:$V,$C61,BV_Data_An_Cour!$W:$W,L$2)</f>
        <v>0</v>
      </c>
      <c r="M61" s="253"/>
      <c r="N61" s="276">
        <f t="shared" si="19"/>
        <v>-97.257333333333349</v>
      </c>
      <c r="O61" s="253"/>
      <c r="P61" s="41"/>
      <c r="Q61" s="256">
        <f t="array" ref="Q61">+INDEX('Réel 2024'!$A$2:$AO$501,MATCH($A61,'Réel 2024'!$A$2:$A$501,0),MATCH(Q$2,'Réel 2024'!$A$2:$AO$2,0))</f>
        <v>97.12</v>
      </c>
      <c r="R61" s="253"/>
      <c r="S61" s="276">
        <f t="shared" si="20"/>
        <v>-97.12</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28.333333333333332</v>
      </c>
      <c r="G62" s="298"/>
      <c r="H62" s="41"/>
      <c r="I62" s="254"/>
      <c r="J62" s="253"/>
      <c r="K62" s="41"/>
      <c r="L62" s="256">
        <f>SUMIFS(BV_Data_An_Cour!$O:$O,BV_Data_An_Cour!$U:$U,$B62,BV_Data_An_Cour!$V:$V,$C62,BV_Data_An_Cour!$W:$W,L$2)</f>
        <v>0</v>
      </c>
      <c r="M62" s="253"/>
      <c r="N62" s="276">
        <f t="shared" si="19"/>
        <v>-28.333333333333332</v>
      </c>
      <c r="O62" s="253"/>
      <c r="P62" s="41"/>
      <c r="Q62" s="256">
        <f t="array" ref="Q62">+INDEX('Réel 2024'!$A$2:$AO$501,MATCH($A62,'Réel 2024'!$A$2:$A$501,0),MATCH(Q$2,'Réel 2024'!$A$2:$AO$2,0))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741.43089466911999</v>
      </c>
      <c r="G63" s="298"/>
      <c r="H63" s="41"/>
      <c r="I63" s="254"/>
      <c r="J63" s="253"/>
      <c r="K63" s="41"/>
      <c r="L63" s="256">
        <f>SUMIFS(BV_Data_An_Cour!$O:$O,BV_Data_An_Cour!$U:$U,$B63,BV_Data_An_Cour!$V:$V,$C63,BV_Data_An_Cour!$W:$W,L$2)</f>
        <v>218.53</v>
      </c>
      <c r="M63" s="253"/>
      <c r="N63" s="276">
        <f t="shared" si="19"/>
        <v>-522.90089466912002</v>
      </c>
      <c r="O63" s="253"/>
      <c r="P63" s="41"/>
      <c r="Q63" s="256">
        <f t="array" ref="Q63">+INDEX('Réel 2024'!$A$2:$AO$501,MATCH($A63,'Réel 2024'!$A$2:$A$501,0),MATCH(Q$2,'Réel 2024'!$A$2:$AO$2,0))</f>
        <v>356.55</v>
      </c>
      <c r="R63" s="253"/>
      <c r="S63" s="276">
        <f t="shared" si="20"/>
        <v>-138.02000000000001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344.80198491798222</v>
      </c>
      <c r="G64" s="298"/>
      <c r="H64" s="41"/>
      <c r="I64" s="254"/>
      <c r="J64" s="253"/>
      <c r="K64" s="41"/>
      <c r="L64" s="256">
        <f>SUMIFS(BV_Data_An_Cour!$O:$O,BV_Data_An_Cour!$U:$U,$B64,BV_Data_An_Cour!$V:$V,$C64,BV_Data_An_Cour!$W:$W,L$2)</f>
        <v>355.13</v>
      </c>
      <c r="M64" s="253"/>
      <c r="N64" s="276">
        <f t="shared" si="19"/>
        <v>10.328015082017771</v>
      </c>
      <c r="O64" s="253"/>
      <c r="P64" s="41"/>
      <c r="Q64" s="256">
        <f t="array" ref="Q64">+INDEX('Réel 2024'!$A$2:$AO$501,MATCH($A64,'Réel 2024'!$A$2:$A$501,0),MATCH(Q$2,'Réel 2024'!$A$2:$AO$2,0))</f>
        <v>330.97</v>
      </c>
      <c r="R64" s="253"/>
      <c r="S64" s="276">
        <f t="shared" si="20"/>
        <v>24.159999999999968</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102.82239536841776</v>
      </c>
      <c r="G65" s="298"/>
      <c r="H65" s="41"/>
      <c r="I65" s="254"/>
      <c r="J65" s="253"/>
      <c r="K65" s="41"/>
      <c r="L65" s="256">
        <f>SUMIFS(BV_Data_An_Cour!$O:$O,BV_Data_An_Cour!$U:$U,$B65,BV_Data_An_Cour!$V:$V,$C65,BV_Data_An_Cour!$W:$W,L$2)</f>
        <v>54.6</v>
      </c>
      <c r="M65" s="253"/>
      <c r="N65" s="276">
        <f t="shared" si="19"/>
        <v>-48.222395368417757</v>
      </c>
      <c r="O65" s="253"/>
      <c r="P65" s="41"/>
      <c r="Q65" s="256">
        <f t="array" ref="Q65">+INDEX('Réel 2024'!$A$2:$AO$501,MATCH($A65,'Réel 2024'!$A$2:$A$501,0),MATCH(Q$2,'Réel 2024'!$A$2:$AO$2,0))</f>
        <v>32.96</v>
      </c>
      <c r="R65" s="253"/>
      <c r="S65" s="276">
        <f t="shared" si="20"/>
        <v>21.64</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201.17038516793778</v>
      </c>
      <c r="G66" s="298"/>
      <c r="H66" s="41"/>
      <c r="I66" s="254"/>
      <c r="J66" s="253"/>
      <c r="K66" s="41"/>
      <c r="L66" s="256">
        <f>SUMIFS(BV_Data_An_Cour!$O:$O,BV_Data_An_Cour!$U:$U,$B66,BV_Data_An_Cour!$V:$V,$C66,BV_Data_An_Cour!$W:$W,L$2)</f>
        <v>62.72</v>
      </c>
      <c r="M66" s="253"/>
      <c r="N66" s="276">
        <f t="shared" si="19"/>
        <v>-138.45038516793778</v>
      </c>
      <c r="O66" s="253"/>
      <c r="P66" s="41"/>
      <c r="Q66" s="256">
        <f t="array" ref="Q66">+INDEX('Réel 2024'!$A$2:$AO$501,MATCH($A66,'Réel 2024'!$A$2:$A$501,0),MATCH(Q$2,'Réel 2024'!$A$2:$AO$2,0))</f>
        <v>188.48</v>
      </c>
      <c r="R66" s="253"/>
      <c r="S66" s="276">
        <f t="shared" si="20"/>
        <v>-125.75999999999999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1934.7062499999995</v>
      </c>
      <c r="G67" s="298"/>
      <c r="H67" s="41"/>
      <c r="I67" s="254"/>
      <c r="J67" s="253"/>
      <c r="K67" s="41"/>
      <c r="L67" s="256">
        <f>SUMIFS(BV_Data_An_Cour!$O:$O,BV_Data_An_Cour!$U:$U,$B67,BV_Data_An_Cour!$V:$V,$C67,BV_Data_An_Cour!$W:$W,L$2)</f>
        <v>2528.0700000000002</v>
      </c>
      <c r="M67" s="253"/>
      <c r="N67" s="276">
        <f t="shared" si="19"/>
        <v>593.36375000000066</v>
      </c>
      <c r="O67" s="253"/>
      <c r="P67" s="41"/>
      <c r="Q67" s="256">
        <f t="array" ref="Q67">+INDEX('Réel 2024'!$A$2:$AO$501,MATCH($A67,'Réel 2024'!$A$2:$A$501,0),MATCH(Q$2,'Réel 2024'!$A$2:$AO$2,0))</f>
        <v>3488.07</v>
      </c>
      <c r="R67" s="253"/>
      <c r="S67" s="276">
        <f t="shared" si="20"/>
        <v>-960</v>
      </c>
      <c r="T67" s="41"/>
      <c r="U67" s="1192"/>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3605.8793737115443</v>
      </c>
      <c r="G68" s="298"/>
      <c r="H68" s="41"/>
      <c r="I68" s="254"/>
      <c r="J68" s="253"/>
      <c r="K68" s="41"/>
      <c r="L68" s="952">
        <f>SUMIFS(BV_Data_An_Cour!$O:$O,BV_Data_An_Cour!$U:$U,$B68,BV_Data_An_Cour!$V:$V,$C68,BV_Data_An_Cour!$W:$W,L$2)</f>
        <v>3902.37</v>
      </c>
      <c r="M68" s="253"/>
      <c r="N68" s="961">
        <f t="shared" si="19"/>
        <v>296.49062628845559</v>
      </c>
      <c r="O68" s="253"/>
      <c r="P68" s="41"/>
      <c r="Q68" s="256">
        <f t="array" ref="Q68">+INDEX('Réel 2024'!$A$2:$AO$501,MATCH($A68,'Réel 2024'!$A$2:$A$501,0),MATCH(Q$2,'Réel 2024'!$A$2:$AO$2,0))</f>
        <v>3718.78</v>
      </c>
      <c r="R68" s="253"/>
      <c r="S68" s="276">
        <f t="shared" si="20"/>
        <v>183.58999999999969</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2024'!$A$2:$AO$501,MATCH($A69,'Réel 2024'!$A$2:$A$501,0),MATCH(Q$2,'Réel 2024'!$A$2:$AO$2,0))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2024'!$A$2:$AO$501,MATCH($A70,'Réel 2024'!$A$2:$A$501,0),MATCH(Q$2,'Réel 2024'!$A$2:$AO$2,0))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2024'!$A$2:$AO$501,MATCH($A71,'Réel 2024'!$A$2:$A$501,0),MATCH(Q$2,'Réel 2024'!$A$2:$AO$2,0))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0.12955494000185713</v>
      </c>
      <c r="F72" s="307">
        <f>+SUM(F55:F71)</f>
        <v>32452.382866801068</v>
      </c>
      <c r="G72" s="308"/>
      <c r="H72" s="306"/>
      <c r="I72" s="307"/>
      <c r="J72" s="308" t="s">
        <v>119</v>
      </c>
      <c r="K72" s="306">
        <f>L72/L$27</f>
        <v>0.11927341148653678</v>
      </c>
      <c r="L72" s="307">
        <f>+SUM(L55:L71)</f>
        <v>31994.079999999998</v>
      </c>
      <c r="M72" s="311"/>
      <c r="N72" s="307">
        <f>+SUM(N55:N71)</f>
        <v>-458.30286680106883</v>
      </c>
      <c r="O72" s="308" t="s">
        <v>119</v>
      </c>
      <c r="P72" s="306">
        <f>Q72/Q$27</f>
        <v>0.12862569341992847</v>
      </c>
      <c r="Q72" s="307">
        <f>+SUM(Q55:Q71)</f>
        <v>32692.969999999998</v>
      </c>
      <c r="R72" s="311"/>
      <c r="S72" s="307">
        <f>+SUM(S55:S71)</f>
        <v>-698.89000000000067</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0.97805437255756611</v>
      </c>
      <c r="F74" s="307">
        <f>F41+F54+F72</f>
        <v>244994.09256283118</v>
      </c>
      <c r="G74" s="308"/>
      <c r="H74" s="306"/>
      <c r="I74" s="307"/>
      <c r="J74" s="308" t="s">
        <v>119</v>
      </c>
      <c r="K74" s="306">
        <f>L74/L$27</f>
        <v>0.7938978199160891</v>
      </c>
      <c r="L74" s="307">
        <f>L41+L54+L72</f>
        <v>212956.35</v>
      </c>
      <c r="M74" s="311"/>
      <c r="N74" s="320">
        <f t="shared" ref="N74:N82" si="21">L74-F74</f>
        <v>-32037.742562831176</v>
      </c>
      <c r="O74" s="308" t="s">
        <v>119</v>
      </c>
      <c r="P74" s="306">
        <f>Q74/Q$27</f>
        <v>0.90534968964641482</v>
      </c>
      <c r="Q74" s="307">
        <f>Q41+Q54+Q72</f>
        <v>230113.97999999998</v>
      </c>
      <c r="R74" s="311"/>
      <c r="S74" s="320">
        <f>L74-Q74</f>
        <v>-17157.629999999976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0</v>
      </c>
      <c r="G75" s="298"/>
      <c r="H75" s="41"/>
      <c r="I75" s="254"/>
      <c r="J75" s="253"/>
      <c r="K75" s="41"/>
      <c r="L75" s="256">
        <f>-SUMIFS(BV_Data_An_Cour!$O:$O,BV_Data_An_Cour!$U:$U,$B75,BV_Data_An_Cour!$V:$V,$C75,BV_Data_An_Cour!$W:$W,L$2)-L156</f>
        <v>0</v>
      </c>
      <c r="M75" s="253"/>
      <c r="N75" s="276">
        <f t="shared" si="21"/>
        <v>0</v>
      </c>
      <c r="O75" s="253"/>
      <c r="P75" s="41"/>
      <c r="Q75" s="256">
        <f>+INDEX('Réel 2024'!$A$2:$AO$501,MATCH($A75,'Réel 2024'!$A$2:$A$501,0),MATCH(Q$2,'Réel 2024'!$A$2:$AO$2,0))</f>
        <v>18100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2024'!$A$2:$AO$501,MATCH($A76,'Réel 2024'!$A$2:$A$501,0),MATCH(Q$2,'Réel 2024'!$A$2:$AO$2,0))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2024'!$A$2:$AO$501,MATCH($A77,'Réel 2024'!$A$2:$A$501,0),MATCH(Q$2,'Réel 2024'!$A$2:$AO$2,0))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1407.2459151788062</v>
      </c>
      <c r="F78" s="254">
        <f>+INDEX('Budget original'!$A$2:$AO$501,MATCH($A78,'Budget original'!$A$2:$A$501,0),MATCH(F$2,'Budget original'!$A$2:$AO$2,0))</f>
        <v>105543.44363841046</v>
      </c>
      <c r="G78" s="298"/>
      <c r="H78" s="41"/>
      <c r="I78" s="254"/>
      <c r="J78" s="1208">
        <f>K78/E78</f>
        <v>0.8319099307551383</v>
      </c>
      <c r="K78" s="1017">
        <f>+L78/J27</f>
        <v>1170.7018518518519</v>
      </c>
      <c r="L78" s="256">
        <f>-SUMIFS(BV_Data_An_Cour!$O:$O,BV_Data_An_Cour!$U:$U,$B78,BV_Data_An_Cour!$V:$V,$C78,BV_Data_An_Cour!$W:$W,L$2)</f>
        <v>94826.85</v>
      </c>
      <c r="M78" s="253"/>
      <c r="N78" s="276">
        <f t="shared" si="21"/>
        <v>-10716.593638410457</v>
      </c>
      <c r="O78" s="253"/>
      <c r="P78" s="41"/>
      <c r="Q78" s="256">
        <f t="array" ref="Q78">+INDEX('Réel 2024'!$A$2:$AO$501,MATCH($A78,'Réel 2024'!$A$2:$A$501,0),MATCH(Q$2,'Réel 2024'!$A$2:$AO$2,0))</f>
        <v>127510</v>
      </c>
      <c r="R78" s="253"/>
      <c r="S78" s="276">
        <f t="shared" si="22"/>
        <v>-32683.149999999994</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2024'!$A$2:$AO$501,MATCH($A79,'Réel 2024'!$A$2:$A$501,0),MATCH(Q$2,'Réel 2024'!$A$2:$AO$2,0))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2024'!$A$2:$AO$501,MATCH($A80,'Réel 2024'!$A$2:$A$501,0),MATCH(Q$2,'Réel 2024'!$A$2:$AO$2,0))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2024'!$A$2:$AO$501,MATCH($A81,'Réel 2024'!$A$2:$A$501,0),MATCH(Q$2,'Réel 2024'!$A$2:$AO$2,0))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59">
        <f>E82/499</f>
        <v>0.94999999999999984</v>
      </c>
      <c r="E82" s="323">
        <f>+F82/D24</f>
        <v>474.0499999999999</v>
      </c>
      <c r="F82" s="254">
        <f>+INDEX('Budget original'!$A$2:$AO$501,MATCH($A82,'Budget original'!$A$2:$A$501,0),MATCH(F$2,'Budget original'!$A$2:$AO$2,0))</f>
        <v>34605.649999999994</v>
      </c>
      <c r="G82" s="298"/>
      <c r="H82" s="41"/>
      <c r="I82" s="254"/>
      <c r="J82" s="1161">
        <f>K82/474</f>
        <v>1.0326613533364588</v>
      </c>
      <c r="K82" s="323">
        <f>+L82/J24</f>
        <v>489.48148148148147</v>
      </c>
      <c r="L82" s="256">
        <f>-SUMIFS(BV_Data_An_Cour!$O:$O,BV_Data_An_Cour!$U:$U,$B82,BV_Data_An_Cour!$V:$V,$C82,BV_Data_An_Cour!$W:$W,L$2)</f>
        <v>39648</v>
      </c>
      <c r="M82" s="253"/>
      <c r="N82" s="276">
        <f t="shared" si="21"/>
        <v>5042.3500000000058</v>
      </c>
      <c r="O82" s="253"/>
      <c r="P82" s="41"/>
      <c r="Q82" s="256">
        <f t="array" ref="Q82">+INDEX('Réel 2024'!$A$2:$AO$501,MATCH($A82,'Réel 2024'!$A$2:$A$501,0),MATCH(Q$2,'Réel 2024'!$A$2:$AO$2,0))</f>
        <v>35590</v>
      </c>
      <c r="R82" s="253"/>
      <c r="S82" s="276">
        <f t="shared" si="22"/>
        <v>4058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140149.09363841044</v>
      </c>
      <c r="G83" s="308"/>
      <c r="H83" s="306"/>
      <c r="I83" s="307"/>
      <c r="J83" s="308"/>
      <c r="K83" s="306"/>
      <c r="L83" s="307">
        <f>+SUM(L75:L82)</f>
        <v>134474.85</v>
      </c>
      <c r="M83" s="311"/>
      <c r="N83" s="307">
        <f>+SUM(N75:N82)</f>
        <v>-5674.2436384104512</v>
      </c>
      <c r="O83" s="308"/>
      <c r="P83" s="306"/>
      <c r="Q83" s="307">
        <f>+SUM(Q75:Q82)</f>
        <v>181200</v>
      </c>
      <c r="R83" s="311"/>
      <c r="S83" s="307">
        <f>+SUM(S75:S82)</f>
        <v>-28625.149999999994</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145646.28196641887</v>
      </c>
      <c r="G85" s="336"/>
      <c r="H85" s="334"/>
      <c r="I85" s="335"/>
      <c r="J85" s="336"/>
      <c r="K85" s="333"/>
      <c r="L85" s="335">
        <f>L27-L74+L83</f>
        <v>189760.01000000024</v>
      </c>
      <c r="M85" s="336"/>
      <c r="N85" s="335">
        <f>N27-N41-N54-N72+N83</f>
        <v>44113.728033581348</v>
      </c>
      <c r="O85" s="336"/>
      <c r="P85" s="1147">
        <f>Q85/Q5</f>
        <v>4.5369152745670514E-2</v>
      </c>
      <c r="Q85" s="335">
        <f>Q27-Q74+Q83</f>
        <v>205257.39999999892</v>
      </c>
      <c r="R85" s="336"/>
      <c r="S85" s="335">
        <f>S27-S41-S54-S72+S83</f>
        <v>2602.6100000013212</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75"/>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30"/>
      <c r="H91" s="1226"/>
      <c r="I91" s="1227"/>
      <c r="J91" s="1230" t="s">
        <v>344</v>
      </c>
      <c r="K91" s="1226"/>
      <c r="L91" s="1227"/>
      <c r="M91" s="1230" t="s">
        <v>3310</v>
      </c>
      <c r="N91" s="1227"/>
      <c r="O91" s="1225" t="s">
        <v>345</v>
      </c>
      <c r="P91" s="1226"/>
      <c r="Q91" s="1227"/>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1699373.0791515762</v>
      </c>
      <c r="G93" s="267"/>
      <c r="H93" s="250"/>
      <c r="I93" s="248"/>
      <c r="J93" s="246"/>
      <c r="K93" s="250"/>
      <c r="L93" s="248">
        <f>-SUMIFS(BV_Data_An_Cour!$O:$O,BV_Data_An_Cour!$X:$X,"Oui",BV_Data_An_Cour!$U:$U,$B93)</f>
        <v>1735831.76</v>
      </c>
      <c r="M93" s="342"/>
      <c r="N93" s="343"/>
      <c r="O93" s="246"/>
      <c r="P93" s="250"/>
      <c r="Q93" s="248">
        <f t="array" ref="Q93">+INDEX('Réel 2024'!$A$2:$AO$501,MATCH($A93,'Réel 2024'!$A$2:$A$501,0),MATCH(Q$2,'Réel 2024'!$A$2:$AO$2,0))</f>
        <v>1416483.5799999901</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26</v>
      </c>
      <c r="E94" s="254">
        <f>IF(D94=0,0,F94/D94)</f>
        <v>1400</v>
      </c>
      <c r="F94" s="254">
        <f>+INDEX('Budget original'!$A$2:$AO$501,MATCH($A94,'Budget original'!$A$2:$A$501,0),MATCH(F$2,'Budget original'!$A$2:$AO$2,0))</f>
        <v>36400</v>
      </c>
      <c r="G94" s="255"/>
      <c r="H94" s="254"/>
      <c r="I94" s="254"/>
      <c r="J94" s="255">
        <f>-SUMIFS(BV_Data_An_Cour!$O:$O,BV_Data_An_Cour!$U:$U,$B94,BV_Data_An_Cour!$V:$V,$C94,BV_Data_An_Cour!$W:$W,J$2)</f>
        <v>28</v>
      </c>
      <c r="K94" s="254">
        <f t="shared" ref="K94:K95" si="23">IF(J94=0,0,L94/J94)</f>
        <v>1004.9228571428559</v>
      </c>
      <c r="L94" s="256">
        <f>-SUMIFS(BV_Data_An_Cour!$O:$O,BV_Data_An_Cour!$U:$U,$B94,BV_Data_An_Cour!$V:$V,$C94,BV_Data_An_Cour!$W:$W,$L2)</f>
        <v>28137.839999999967</v>
      </c>
      <c r="M94" s="255">
        <f>J94-D94</f>
        <v>2</v>
      </c>
      <c r="N94" s="256">
        <f>L94-F94</f>
        <v>-8262.1600000000326</v>
      </c>
      <c r="O94" s="255">
        <f t="array" ref="O94">+INDEX('Réel 2024'!$A$2:$AO$501,MATCH($A94,'Réel 2024'!$A$2:$A$501,0),MATCH(O$2,'Réel 2024'!$A$2:$AO$2,0))</f>
        <v>25</v>
      </c>
      <c r="P94" s="254">
        <f t="shared" ref="P94:P96" si="24">IF(O94=0,0,Q94/O94)</f>
        <v>1627.894399999996</v>
      </c>
      <c r="Q94" s="256">
        <f t="array" ref="Q94">+INDEX('Réel 2024'!$A$2:$AO$501,MATCH($A94,'Réel 2024'!$A$2:$A$501,0),MATCH(Q$2,'Réel 2024'!$A$2:$AO$2,0))</f>
        <v>40697.359999999899</v>
      </c>
      <c r="R94" s="255">
        <f t="shared" ref="R94:R95" si="25">J94-O94</f>
        <v>3</v>
      </c>
      <c r="S94" s="256">
        <f t="shared" ref="S94:S95" si="26">L94-Q94</f>
        <v>-12559.519999999931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3</v>
      </c>
      <c r="E95" s="1076">
        <f t="shared" ref="E95:E105" si="27">IF(D95=0,0,F95/D95)</f>
        <v>1800</v>
      </c>
      <c r="F95" s="254">
        <f>+INDEX('Budget original'!$A$2:$AO$501,MATCH($A95,'Budget original'!$A$2:$A$501,0),MATCH(F$2,'Budget original'!$A$2:$AO$2,0))</f>
        <v>5400</v>
      </c>
      <c r="G95" s="255"/>
      <c r="H95" s="254"/>
      <c r="I95" s="254"/>
      <c r="J95" s="255">
        <f>-SUMIFS(BV_Data_An_Cour!$O:$O,BV_Data_An_Cour!$U:$U,$B95,BV_Data_An_Cour!$V:$V,$C95,BV_Data_An_Cour!$W:$W,J$2)</f>
        <v>0</v>
      </c>
      <c r="K95" s="254">
        <f t="shared" si="23"/>
        <v>0</v>
      </c>
      <c r="L95" s="256">
        <f>-SUMIFS(BV_Data_An_Cour!$O:$O,BV_Data_An_Cour!$U:$U,$B95,BV_Data_An_Cour!$V:$V,$C95,BV_Data_An_Cour!$W:$W,$L2)</f>
        <v>0</v>
      </c>
      <c r="M95" s="255">
        <f>J95-D95</f>
        <v>-3</v>
      </c>
      <c r="N95" s="256">
        <f>L95-F95</f>
        <v>-5400</v>
      </c>
      <c r="O95" s="255">
        <f t="array" ref="O95">+INDEX('Réel 2024'!$A$2:$AO$501,MATCH($A95,'Réel 2024'!$A$2:$A$501,0),MATCH(O$2,'Réel 2024'!$A$2:$AO$2,0))</f>
        <v>5</v>
      </c>
      <c r="P95" s="254">
        <f t="shared" si="24"/>
        <v>1346.9039999999982</v>
      </c>
      <c r="Q95" s="256">
        <f t="array" ref="Q95">+INDEX('Réel 2024'!$A$2:$AO$501,MATCH($A95,'Réel 2024'!$A$2:$A$501,0),MATCH(Q$2,'Réel 2024'!$A$2:$AO$2,0))</f>
        <v>6734.5199999999904</v>
      </c>
      <c r="R95" s="255">
        <f t="shared" si="25"/>
        <v>-5</v>
      </c>
      <c r="S95" s="256">
        <f t="shared" si="26"/>
        <v>-6734.5199999999904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3859</v>
      </c>
      <c r="D96" s="254">
        <f>+INDEX('Budget original'!$A$2:$AO$501,MATCH($A96,'Budget original'!$A$2:$A$501,0),MATCH(D$2,'Budget original'!$A$2:$AO$2,0))</f>
        <v>5</v>
      </c>
      <c r="E96" s="1078">
        <f t="shared" si="27"/>
        <v>1500</v>
      </c>
      <c r="F96" s="254">
        <f>+INDEX('Budget original'!$A$2:$AO$501,MATCH($A96,'Budget original'!$A$2:$A$501,0),MATCH(F$2,'Budget original'!$A$2:$AO$2,0))</f>
        <v>7500</v>
      </c>
      <c r="G96" s="1077"/>
      <c r="H96" s="254"/>
      <c r="I96" s="254"/>
      <c r="J96" s="1077">
        <f>-SUMIFS(BV_Data_An_Cour!$O:$O,BV_Data_An_Cour!$U:$U,$B96,BV_Data_An_Cour!$V:$V,$C96,BV_Data_An_Cour!$W:$W,J$2)</f>
        <v>0</v>
      </c>
      <c r="K96" s="254">
        <f t="shared" ref="K96" si="28">IF(J96=0,0,L96/J96)</f>
        <v>0</v>
      </c>
      <c r="L96" s="952">
        <f>-SUMIFS(BV_Data_An_Cour!$O:$O,BV_Data_An_Cour!$U:$U,$B96,BV_Data_An_Cour!$V:$V,$C96,BV_Data_An_Cour!$W:$W,$L2)</f>
        <v>0</v>
      </c>
      <c r="M96" s="1077">
        <f>J96-D96</f>
        <v>-5</v>
      </c>
      <c r="N96" s="952">
        <f>L96-F96</f>
        <v>-7500</v>
      </c>
      <c r="O96" s="1077">
        <f>+INDEX('Réel 2024'!$A$2:$AO$501,MATCH($A96,'Réel 2024'!$A$2:$A$501,0),MATCH(O$2,'Réel 2024'!$A$2:$AO$2,0))</f>
        <v>0</v>
      </c>
      <c r="P96" s="254">
        <f t="shared" si="24"/>
        <v>0</v>
      </c>
      <c r="Q96" s="952">
        <f>+INDEX('Réel 2024'!$A$2:$AO$501,MATCH($A96,'Réel 2024'!$A$2:$A$501,0),MATCH(Q$2,'Réel 2024'!$A$2:$AO$2,0))</f>
        <v>0</v>
      </c>
      <c r="R96" s="1077">
        <f>J96-O96</f>
        <v>0</v>
      </c>
      <c r="S96" s="952">
        <f>L96-Q96</f>
        <v>0</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34</v>
      </c>
      <c r="E97" s="254">
        <f t="shared" si="27"/>
        <v>1450</v>
      </c>
      <c r="F97" s="261">
        <f>+F94+F95+F96</f>
        <v>49300</v>
      </c>
      <c r="G97" s="262"/>
      <c r="H97" s="260"/>
      <c r="I97" s="261"/>
      <c r="J97" s="262">
        <f>+J94+J95+J96</f>
        <v>28</v>
      </c>
      <c r="K97" s="260">
        <f>IF(J97&lt;=0,0,L97/J97)</f>
        <v>1004.9228571428559</v>
      </c>
      <c r="L97" s="261">
        <f>+L94+L95+L96</f>
        <v>28137.839999999967</v>
      </c>
      <c r="M97" s="262">
        <f>J97-D97</f>
        <v>-6</v>
      </c>
      <c r="N97" s="261">
        <f>L97-F97</f>
        <v>-21162.160000000033</v>
      </c>
      <c r="O97" s="262">
        <f>+O95+O94+O96</f>
        <v>30</v>
      </c>
      <c r="P97" s="260">
        <f>IF(O97=0,0,Q97/O97)</f>
        <v>1581.0626666666628</v>
      </c>
      <c r="Q97" s="261">
        <f>+Q94+Q95+Q96</f>
        <v>47431.879999999888</v>
      </c>
      <c r="R97" s="262">
        <f>R94+R95</f>
        <v>-2</v>
      </c>
      <c r="S97" s="261">
        <f>S94+S95</f>
        <v>-19294.039999999921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-0.17647058823529413</v>
      </c>
      <c r="N98" s="346">
        <f>N97/F97</f>
        <v>-0.42925273833671468</v>
      </c>
      <c r="O98" s="253"/>
      <c r="P98" s="41">
        <f t="shared" ref="P98" si="30">IF(O98=0,0,Q98/O98)</f>
        <v>0</v>
      </c>
      <c r="Q98" s="263"/>
      <c r="R98" s="345">
        <f>R97/O97</f>
        <v>-6.6666666666666666E-2</v>
      </c>
      <c r="S98" s="346">
        <f>IF(Q97=0,0,(S97/Q97))</f>
        <v>-0.40677367205347892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37</v>
      </c>
      <c r="E100" s="254">
        <f t="shared" si="27"/>
        <v>400</v>
      </c>
      <c r="F100" s="254">
        <f>+INDEX('Budget original'!$A$2:$AO$501,MATCH($A100,'Budget original'!$A$2:$A$501,0),MATCH(F$2,'Budget original'!$A$2:$AO$2,0))</f>
        <v>14800</v>
      </c>
      <c r="G100" s="255"/>
      <c r="H100" s="254"/>
      <c r="I100" s="254"/>
      <c r="J100" s="255">
        <f>-SUMIFS(BV_Data_An_Cour!$O:$O,BV_Data_An_Cour!$U:$U,$B100,BV_Data_An_Cour!$V:$V,$C100,BV_Data_An_Cour!$W:$W,J$2)</f>
        <v>51</v>
      </c>
      <c r="K100" s="254">
        <f>IF(J100=0,0,L100/J100)</f>
        <v>737.09647058823612</v>
      </c>
      <c r="L100" s="256">
        <f>-SUMIFS(BV_Data_An_Cour!$O:$O,BV_Data_An_Cour!$U:$U,$B100,BV_Data_An_Cour!$V:$V,$C100,BV_Data_An_Cour!$W:$W,L$2)</f>
        <v>37591.920000000042</v>
      </c>
      <c r="M100" s="255">
        <f>J100-D100</f>
        <v>14</v>
      </c>
      <c r="N100" s="256">
        <f>L100-F100</f>
        <v>22791.920000000042</v>
      </c>
      <c r="O100" s="255">
        <f t="array" ref="O100">+INDEX('Réel 2024'!$A$2:$AO$501,MATCH($A100,'Réel 2024'!$A$2:$A$501,0),MATCH(O$2,'Réel 2024'!$A$2:$AO$2,0))</f>
        <v>37</v>
      </c>
      <c r="P100" s="254">
        <f>IF(O100=0,0,Q100/O100)</f>
        <v>-125.19594594594595</v>
      </c>
      <c r="Q100" s="256">
        <f t="array" ref="Q100">+INDEX('Réel 2024'!$A$2:$AO$501,MATCH($A100,'Réel 2024'!$A$2:$A$501,0),MATCH(Q$2,'Réel 2024'!$A$2:$AO$2,0))</f>
        <v>-4632.25</v>
      </c>
      <c r="R100" s="255">
        <f>J100-O100</f>
        <v>14</v>
      </c>
      <c r="S100" s="256">
        <f>L100-Q100</f>
        <v>42224.170000000042</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20400</v>
      </c>
      <c r="G102" s="255"/>
      <c r="H102" s="254"/>
      <c r="I102" s="254"/>
      <c r="J102" s="255"/>
      <c r="K102" s="254">
        <f>IF(J97=0,0,L102/J97)</f>
        <v>450.1742857142857</v>
      </c>
      <c r="L102" s="256">
        <f>-SUMIFS(BV_Data_An_Cour!$O:$O,BV_Data_An_Cour!$U:$U,$B102,BV_Data_An_Cour!$V:$V,$C102,BV_Data_An_Cour!$W:$W,$L2)</f>
        <v>12604.88</v>
      </c>
      <c r="M102" s="255"/>
      <c r="N102" s="256">
        <f>L102-F102</f>
        <v>-7795.1200000000008</v>
      </c>
      <c r="O102" s="255"/>
      <c r="P102" s="254"/>
      <c r="Q102" s="256">
        <f t="array" ref="Q102">+INDEX('Réel 2024'!$A$2:$AO$501,MATCH($A102,'Réel 2024'!$A$2:$A$501,0),MATCH(Q$2,'Réel 2024'!$A$2:$AO$2,0))</f>
        <v>8266.65</v>
      </c>
      <c r="R102" s="255">
        <f t="shared" ref="R102:R104" si="31">O102-K102</f>
        <v>-450.1742857142857</v>
      </c>
      <c r="S102" s="256">
        <f t="shared" ref="S102:S105" si="32">L102-Q102</f>
        <v>4338.2299999999996</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42500</v>
      </c>
      <c r="G103" s="255"/>
      <c r="H103" s="254"/>
      <c r="I103" s="254"/>
      <c r="J103" s="255"/>
      <c r="K103" s="254">
        <f>IF(J97=0,0,L103/J97)</f>
        <v>1933.1910714285714</v>
      </c>
      <c r="L103" s="256">
        <f>-SUMIFS(BV_Data_An_Cour!$O:$O,BV_Data_An_Cour!$U:$U,$B103,BV_Data_An_Cour!$V:$V,$C103,BV_Data_An_Cour!$W:$W,$L2)</f>
        <v>54129.35</v>
      </c>
      <c r="M103" s="255"/>
      <c r="N103" s="256">
        <f>L103-F103</f>
        <v>11629.349999999999</v>
      </c>
      <c r="O103" s="255"/>
      <c r="P103" s="254"/>
      <c r="Q103" s="256">
        <f t="array" ref="Q103">+INDEX('Réel 2024'!$A$2:$AO$501,MATCH($A103,'Réel 2024'!$A$2:$A$501,0),MATCH(Q$2,'Réel 2024'!$A$2:$AO$2,0))</f>
        <v>46940.15</v>
      </c>
      <c r="R103" s="255">
        <f t="shared" si="31"/>
        <v>-1933.1910714285714</v>
      </c>
      <c r="S103" s="256">
        <f t="shared" si="32"/>
        <v>7189.1999999999971</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1700</v>
      </c>
      <c r="G104" s="255"/>
      <c r="H104" s="250"/>
      <c r="I104" s="254"/>
      <c r="J104" s="255"/>
      <c r="K104" s="250">
        <f>IF(J97=0,0,L104/J97)</f>
        <v>28.672142857142859</v>
      </c>
      <c r="L104" s="256">
        <f>-SUMIFS(BV_Data_An_Cour!$O:$O,BV_Data_An_Cour!$U:$U,$B104,BV_Data_An_Cour!$V:$V,$C104,BV_Data_An_Cour!$W:$W,$L$2)</f>
        <v>802.82</v>
      </c>
      <c r="M104" s="267"/>
      <c r="N104" s="256">
        <f>L104-F104</f>
        <v>-897.18</v>
      </c>
      <c r="O104" s="255"/>
      <c r="P104" s="250"/>
      <c r="Q104" s="256">
        <f t="array" ref="Q104">+INDEX('Réel 2024'!$A$2:$AO$501,MATCH($A104,'Réel 2024'!$A$2:$A$501,0),MATCH(Q$2,'Réel 2024'!$A$2:$AO$2,0))</f>
        <v>2036.84</v>
      </c>
      <c r="R104" s="255">
        <f t="shared" si="31"/>
        <v>-28.672142857142859</v>
      </c>
      <c r="S104" s="256">
        <f t="shared" si="32"/>
        <v>-1234.02</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34</v>
      </c>
      <c r="E105" s="254">
        <f t="shared" si="27"/>
        <v>1900</v>
      </c>
      <c r="F105" s="261">
        <f>F102+F103+F104</f>
        <v>64600</v>
      </c>
      <c r="G105" s="262"/>
      <c r="H105" s="260"/>
      <c r="I105" s="261"/>
      <c r="J105" s="262">
        <f>J97</f>
        <v>28</v>
      </c>
      <c r="K105" s="260">
        <f>IF(J105&lt;=0,0,L105/J105)</f>
        <v>2412.0374999999999</v>
      </c>
      <c r="L105" s="261">
        <f>L102+L103+L104</f>
        <v>67537.05</v>
      </c>
      <c r="M105" s="255">
        <f>J105-D105</f>
        <v>-6</v>
      </c>
      <c r="N105" s="261">
        <f>L105-F105</f>
        <v>2937.0500000000029</v>
      </c>
      <c r="O105" s="262">
        <f>O97</f>
        <v>30</v>
      </c>
      <c r="P105" s="260">
        <f t="shared" ref="P105" si="33">IF(O105=0,0,Q105/O105)</f>
        <v>1908.1213333333333</v>
      </c>
      <c r="Q105" s="261">
        <f>Q102+Q103+Q104</f>
        <v>57243.64</v>
      </c>
      <c r="R105" s="273"/>
      <c r="S105" s="261">
        <f t="shared" si="32"/>
        <v>10293.410000000003</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4.5465170278637813E-2</v>
      </c>
      <c r="O106" s="253"/>
      <c r="P106" s="41"/>
      <c r="Q106" s="276"/>
      <c r="R106" s="277"/>
      <c r="S106" s="265">
        <f>IF(Q105=0,0,(S105/Q105))</f>
        <v>0.17981753082089125</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71</v>
      </c>
      <c r="E108" s="280">
        <f>IF(D108&lt;=0,0,F108/D108)</f>
        <v>1812.6760563380283</v>
      </c>
      <c r="F108" s="281">
        <f>F97+F105+F100</f>
        <v>128700</v>
      </c>
      <c r="G108" s="282"/>
      <c r="H108" s="350"/>
      <c r="I108" s="281"/>
      <c r="J108" s="282">
        <f>J97+J100</f>
        <v>79</v>
      </c>
      <c r="K108" s="280">
        <f>IF(J108&lt;=0,0,L108/J108)</f>
        <v>1686.9216455696203</v>
      </c>
      <c r="L108" s="281">
        <f>L97+L105+L100</f>
        <v>133266.81</v>
      </c>
      <c r="M108" s="282">
        <f>J108-D108</f>
        <v>8</v>
      </c>
      <c r="N108" s="281">
        <f>L108-F108</f>
        <v>4566.8099999999977</v>
      </c>
      <c r="O108" s="282">
        <f>O97+O100</f>
        <v>67</v>
      </c>
      <c r="P108" s="280">
        <f>IF(O108&lt;=0,0,Q108/O108)</f>
        <v>1493.1831343283566</v>
      </c>
      <c r="Q108" s="281">
        <f>Q97+Q105+Q100</f>
        <v>100043.26999999989</v>
      </c>
      <c r="R108" s="282">
        <f>J108-O108</f>
        <v>12</v>
      </c>
      <c r="S108" s="281">
        <f>L108-Q108</f>
        <v>33223.54000000011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1.0354841491841491</v>
      </c>
      <c r="M109" s="286">
        <f>M108/D108</f>
        <v>0.11267605633802817</v>
      </c>
      <c r="N109" s="287">
        <f>N108/F108</f>
        <v>3.5484149184149168E-2</v>
      </c>
      <c r="O109" s="283"/>
      <c r="P109" s="284"/>
      <c r="Q109" s="285"/>
      <c r="R109" s="351">
        <f>O108/R108</f>
        <v>5.583333333333333</v>
      </c>
      <c r="S109" s="352">
        <f>IF(Q108=0,0,(S108/Q108))</f>
        <v>0.33209170391971543</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1197">
        <f>F112/F97</f>
        <v>0.33761064608016272</v>
      </c>
      <c r="E112" s="291">
        <f t="shared" ref="E112:E121" si="34">F112/D$97</f>
        <v>489.53543681623597</v>
      </c>
      <c r="F112" s="254">
        <f>+INDEX('Budget original'!$A$2:$AO$501,MATCH($A112,'Budget original'!$A$2:$A$501,0),MATCH(F$2,'Budget original'!$A$2:$AO$2,0))</f>
        <v>16644.204851752023</v>
      </c>
      <c r="G112" s="292"/>
      <c r="H112" s="291"/>
      <c r="I112" s="254"/>
      <c r="J112" s="292">
        <f>L112/L97</f>
        <v>0.42676694444207564</v>
      </c>
      <c r="K112" s="291">
        <f>IF($J$97=0,0,L112/(J$94+J$95+J96))</f>
        <v>428.86785714285713</v>
      </c>
      <c r="L112" s="256">
        <f>SUMIFS(BV_Data_An_Cour!$O:$O,BV_Data_An_Cour!$U:$U,$B112,BV_Data_An_Cour!$V:$V,$C112,BV_Data_An_Cour!$W:$W,$L$2)</f>
        <v>12008.3</v>
      </c>
      <c r="M112" s="253"/>
      <c r="N112" s="276">
        <f t="shared" ref="N112:N153" si="35">L112-F112</f>
        <v>-4635.9048517520241</v>
      </c>
      <c r="O112" s="1145">
        <f>Q112/Q97</f>
        <v>0.31708926570062235</v>
      </c>
      <c r="P112" s="291">
        <f t="shared" ref="P112:P121" si="36">Q112/O$97</f>
        <v>501.33799999999997</v>
      </c>
      <c r="Q112" s="256">
        <f t="array" ref="Q112">+INDEX('Réel 2024'!$A$2:$AO$501,MATCH($A112,'Réel 2024'!$A$2:$A$501,0),MATCH(Q$2,'Réel 2024'!$A$2:$AO$2,0))</f>
        <v>15040.14</v>
      </c>
      <c r="R112" s="253"/>
      <c r="S112" s="276">
        <f t="shared" ref="S112:S153" si="37">L112-Q112</f>
        <v>-3031.84</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193">
        <f>F113/(F105)</f>
        <v>0.3</v>
      </c>
      <c r="E113" s="294">
        <f t="shared" si="34"/>
        <v>570</v>
      </c>
      <c r="F113" s="248">
        <f>+INDEX('Budget original'!$A$2:$AO$501,MATCH($A113,'Budget original'!$A$2:$A$501,0),MATCH(F$2,'Budget original'!$A$2:$AO$2,0))</f>
        <v>19380</v>
      </c>
      <c r="G113" s="295"/>
      <c r="H113" s="294"/>
      <c r="I113" s="248"/>
      <c r="J113" s="295">
        <f>L113/(L105)</f>
        <v>0.29856708280862132</v>
      </c>
      <c r="K113" s="294">
        <f>IF($J$97=0,0,L113/(J$94+J$95+J96))</f>
        <v>720.15499999999997</v>
      </c>
      <c r="L113" s="256">
        <f>SUMIFS(BV_Data_An_Cour!$O:$O,BV_Data_An_Cour!$U:$U,$B113,BV_Data_An_Cour!$V:$V,$C113,BV_Data_An_Cour!$W:$W,$L$2)</f>
        <v>20164.34</v>
      </c>
      <c r="M113" s="246"/>
      <c r="N113" s="296">
        <f t="shared" si="35"/>
        <v>784.34000000000015</v>
      </c>
      <c r="O113" s="1146">
        <f>Q113/(Q105+Q19)</f>
        <v>0.25539010083332792</v>
      </c>
      <c r="P113" s="294">
        <f t="shared" si="36"/>
        <v>572.44533333333334</v>
      </c>
      <c r="Q113" s="256">
        <f t="array" ref="Q113">+INDEX('Réel 2024'!$A$2:$AO$501,MATCH($A113,'Réel 2024'!$A$2:$A$501,0),MATCH(Q$2,'Réel 2024'!$A$2:$AO$2,0))</f>
        <v>17173.36</v>
      </c>
      <c r="R113" s="246"/>
      <c r="S113" s="296">
        <f t="shared" si="37"/>
        <v>2990.9799999999996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8</v>
      </c>
      <c r="F114" s="254">
        <f>+INDEX('Budget original'!$A$2:$AO$501,MATCH($A114,'Budget original'!$A$2:$A$501,0),MATCH(F$2,'Budget original'!$A$2:$AO$2,0))</f>
        <v>272</v>
      </c>
      <c r="G114" s="298"/>
      <c r="H114" s="291"/>
      <c r="I114" s="254"/>
      <c r="J114" s="253"/>
      <c r="K114" s="291">
        <f>IF($J$97=0,0,L114/(J$94+J$95+J96))</f>
        <v>-62.661071428571425</v>
      </c>
      <c r="L114" s="272">
        <f>SUMIFS(BV_Data_An_Cour!$O:$O,BV_Data_An_Cour!$U:$U,$B114,BV_Data_An_Cour!$V:$V,$C114,BV_Data_An_Cour!$W:$W,$L$2)</f>
        <v>-1754.51</v>
      </c>
      <c r="M114" s="253"/>
      <c r="N114" s="276">
        <f t="shared" si="35"/>
        <v>-2026.51</v>
      </c>
      <c r="O114" s="253"/>
      <c r="P114" s="291">
        <f t="shared" si="36"/>
        <v>-42.933</v>
      </c>
      <c r="Q114" s="272">
        <f t="array" ref="Q114">+INDEX('Réel 2024'!$A$2:$AO$501,MATCH($A114,'Réel 2024'!$A$2:$A$501,0),MATCH(Q$2,'Réel 2024'!$A$2:$AO$2,0))</f>
        <v>-1287.99</v>
      </c>
      <c r="R114" s="253"/>
      <c r="S114" s="276">
        <f t="shared" si="37"/>
        <v>-466.52</v>
      </c>
      <c r="T114" s="41"/>
      <c r="U114" s="38"/>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45</v>
      </c>
      <c r="F115" s="254">
        <f>+INDEX('Budget original'!$A$2:$AO$501,MATCH($A115,'Budget original'!$A$2:$A$501,0),MATCH(F$2,'Budget original'!$A$2:$AO$2,0))</f>
        <v>1530</v>
      </c>
      <c r="G115" s="298"/>
      <c r="H115" s="291"/>
      <c r="I115" s="254"/>
      <c r="J115" s="253"/>
      <c r="K115" s="291">
        <f>IF($J$97=0,0,L115/(J$94+J$95+J96))</f>
        <v>177.98464285714286</v>
      </c>
      <c r="L115" s="256">
        <f>SUMIFS(BV_Data_An_Cour!$O:$O,BV_Data_An_Cour!$U:$U,$B115,BV_Data_An_Cour!$V:$V,$C115,BV_Data_An_Cour!$W:$W,$L$2)</f>
        <v>4983.57</v>
      </c>
      <c r="M115" s="253"/>
      <c r="N115" s="276">
        <f t="shared" si="35"/>
        <v>3453.5699999999997</v>
      </c>
      <c r="O115" s="253"/>
      <c r="P115" s="291">
        <f t="shared" si="36"/>
        <v>88.436999999999998</v>
      </c>
      <c r="Q115" s="256">
        <f t="array" ref="Q115">+INDEX('Réel 2024'!$A$2:$AO$501,MATCH($A115,'Réel 2024'!$A$2:$A$501,0),MATCH(Q$2,'Réel 2024'!$A$2:$AO$2,0))</f>
        <v>2653.11</v>
      </c>
      <c r="R115" s="253"/>
      <c r="S115" s="276">
        <f t="shared" si="37"/>
        <v>2330.4599999999996</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160</v>
      </c>
      <c r="F116" s="248">
        <f>+INDEX('Budget original'!$A$2:$AO$501,MATCH($A116,'Budget original'!$A$2:$A$501,0),MATCH(F$2,'Budget original'!$A$2:$AO$2,0))</f>
        <v>5440</v>
      </c>
      <c r="G116" s="300"/>
      <c r="H116" s="294"/>
      <c r="I116" s="248"/>
      <c r="J116" s="246"/>
      <c r="K116" s="294">
        <f>IF($J$97=0,0,L116/(J$94+J$95+J96))</f>
        <v>134.48499999999999</v>
      </c>
      <c r="L116" s="248">
        <f>SUMIFS(BV_Data_An_Cour!$O:$O,BV_Data_An_Cour!$U:$U,$B116,BV_Data_An_Cour!$V:$V,$C116,BV_Data_An_Cour!$W:$W,$L$2)</f>
        <v>3765.58</v>
      </c>
      <c r="M116" s="246"/>
      <c r="N116" s="296">
        <f t="shared" si="35"/>
        <v>-1674.42</v>
      </c>
      <c r="O116" s="246"/>
      <c r="P116" s="294">
        <f t="shared" si="36"/>
        <v>159.28566666666666</v>
      </c>
      <c r="Q116" s="248">
        <f t="array" ref="Q116">+INDEX('Réel 2024'!$A$2:$AO$501,MATCH($A116,'Réel 2024'!$A$2:$A$501,0),MATCH(Q$2,'Réel 2024'!$A$2:$AO$2,0))</f>
        <v>4778.57</v>
      </c>
      <c r="R116" s="246"/>
      <c r="S116" s="296">
        <f t="shared" si="37"/>
        <v>-1012.9899999999998</v>
      </c>
      <c r="T116" s="41"/>
      <c r="U116" s="38"/>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349.47058823529414</v>
      </c>
      <c r="F117" s="254">
        <f>+INDEX('Budget original'!$A$2:$AO$501,MATCH($A117,'Budget original'!$A$2:$A$501,0),MATCH(F$2,'Budget original'!$A$2:$AO$2,0))</f>
        <v>11882</v>
      </c>
      <c r="G117" s="298"/>
      <c r="H117" s="291"/>
      <c r="I117" s="254"/>
      <c r="J117" s="253"/>
      <c r="K117" s="291">
        <f>IF($J$97=0,0,L117/(J$94+J$95+J96))</f>
        <v>328.2689285714286</v>
      </c>
      <c r="L117" s="256">
        <f>SUMIFS(BV_Data_An_Cour!$O:$O,BV_Data_An_Cour!$U:$U,$B117,BV_Data_An_Cour!$V:$V,$C117,BV_Data_An_Cour!$W:$W,$L$2)</f>
        <v>9191.5300000000007</v>
      </c>
      <c r="M117" s="253"/>
      <c r="N117" s="276">
        <f t="shared" si="35"/>
        <v>-2690.4699999999993</v>
      </c>
      <c r="O117" s="253"/>
      <c r="P117" s="291">
        <f t="shared" si="36"/>
        <v>417.98833333333334</v>
      </c>
      <c r="Q117" s="256">
        <f t="array" ref="Q117">+INDEX('Réel 2024'!$A$2:$AO$501,MATCH($A117,'Réel 2024'!$A$2:$A$501,0),MATCH(Q$2,'Réel 2024'!$A$2:$AO$2,0))</f>
        <v>12539.65</v>
      </c>
      <c r="R117" s="253"/>
      <c r="S117" s="276">
        <f t="shared" si="37"/>
        <v>-3348.119999999999</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212.98410404624275</v>
      </c>
      <c r="F118" s="254">
        <f>+INDEX('Budget original'!$A$2:$AO$501,MATCH($A118,'Budget original'!$A$2:$A$501,0),MATCH(F$2,'Budget original'!$A$2:$AO$2,0))</f>
        <v>7241.4595375722538</v>
      </c>
      <c r="G118" s="298"/>
      <c r="H118" s="291"/>
      <c r="I118" s="254"/>
      <c r="J118" s="253"/>
      <c r="K118" s="291">
        <f>IF($J$97=0,0,L118/(J$94+J$95+J96))</f>
        <v>145.15642857142856</v>
      </c>
      <c r="L118" s="952">
        <f>SUMIFS(BV_Data_An_Cour!$O:$O,BV_Data_An_Cour!$U:$U,$B118,BV_Data_An_Cour!$V:$V,$C118,BV_Data_An_Cour!$W:$W,$L$2)</f>
        <v>4064.38</v>
      </c>
      <c r="M118" s="253"/>
      <c r="N118" s="961">
        <f t="shared" si="35"/>
        <v>-3177.0795375722537</v>
      </c>
      <c r="O118" s="253"/>
      <c r="P118" s="291">
        <f t="shared" si="36"/>
        <v>125.85100000000001</v>
      </c>
      <c r="Q118" s="256">
        <f t="array" ref="Q118">+INDEX('Réel 2024'!$A$2:$AO$501,MATCH($A118,'Réel 2024'!$A$2:$A$501,0),MATCH(Q$2,'Réel 2024'!$A$2:$AO$2,0))</f>
        <v>3775.53</v>
      </c>
      <c r="R118" s="253"/>
      <c r="S118" s="276">
        <f t="shared" si="37"/>
        <v>288.84999999999991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2024'!$A$2:$AO$501,MATCH($A119,'Réel 2024'!$A$2:$A$501,0),MATCH(Q$2,'Réel 2024'!$A$2:$AO$2,0))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2024'!$A$2:$AO$501,MATCH($A120,'Réel 2024'!$A$2:$A$501,0),MATCH(Q$2,'Réel 2024'!$A$2:$AO$2,0))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2024'!$A$2:$AO$501,MATCH($A121,'Réel 2024'!$A$2:$A$501,0),MATCH(Q$2,'Réel 2024'!$A$2:$AO$2,0))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0.48476817707322672</v>
      </c>
      <c r="F122" s="307">
        <f>SUM(F112:F121)</f>
        <v>62389.66438932428</v>
      </c>
      <c r="G122" s="308"/>
      <c r="H122" s="306"/>
      <c r="I122" s="307"/>
      <c r="J122" s="308" t="s">
        <v>119</v>
      </c>
      <c r="K122" s="306">
        <f>L122/L$108</f>
        <v>0.39337018722065903</v>
      </c>
      <c r="L122" s="307">
        <f>SUM(L112:L121)</f>
        <v>52423.189999999995</v>
      </c>
      <c r="M122" s="311"/>
      <c r="N122" s="307">
        <f t="shared" si="35"/>
        <v>-9966.4743893242849</v>
      </c>
      <c r="O122" s="308" t="s">
        <v>119</v>
      </c>
      <c r="P122" s="306">
        <f>Q122/Q$108</f>
        <v>0.54648723497342755</v>
      </c>
      <c r="Q122" s="307">
        <f>SUM(Q112:Q121)</f>
        <v>54672.369999999995</v>
      </c>
      <c r="R122" s="311"/>
      <c r="S122" s="307">
        <f t="shared" si="37"/>
        <v>-2249.1800000000003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9202.1205128205147</v>
      </c>
      <c r="G123" s="253"/>
      <c r="H123" s="41"/>
      <c r="I123" s="254"/>
      <c r="J123" s="253"/>
      <c r="K123" s="41"/>
      <c r="L123" s="256">
        <f>SUMIFS(BV_Data_An_Cour!$O:$O,BV_Data_An_Cour!$U:$U,$B123,BV_Data_An_Cour!$V:$V,$C123,BV_Data_An_Cour!$W:$W,$L$2)</f>
        <v>12692.24</v>
      </c>
      <c r="M123" s="253"/>
      <c r="N123" s="276">
        <f t="shared" si="35"/>
        <v>3490.1194871794851</v>
      </c>
      <c r="O123" s="253"/>
      <c r="P123" s="41"/>
      <c r="Q123" s="256">
        <f t="array" ref="Q123">+INDEX('Réel 2024'!$A$2:$AO$501,MATCH($A123,'Réel 2024'!$A$2:$A$501,0),MATCH(Q$2,'Réel 2024'!$A$2:$AO$2,0))</f>
        <v>11356.48</v>
      </c>
      <c r="R123" s="253"/>
      <c r="S123" s="276">
        <f t="shared" si="37"/>
        <v>1335.7600000000002</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8529.65846153846</v>
      </c>
      <c r="G124" s="298"/>
      <c r="H124" s="41"/>
      <c r="I124" s="248"/>
      <c r="J124" s="253"/>
      <c r="K124" s="41"/>
      <c r="L124" s="248">
        <f>SUMIFS(BV_Data_An_Cour!$O:$O,BV_Data_An_Cour!$U:$U,$B124,BV_Data_An_Cour!$V:$V,$C124,BV_Data_An_Cour!$W:$W,$L$2)</f>
        <v>1911.65</v>
      </c>
      <c r="M124" s="253"/>
      <c r="N124" s="276">
        <f t="shared" si="35"/>
        <v>-6618.0084615384603</v>
      </c>
      <c r="O124" s="253"/>
      <c r="P124" s="41"/>
      <c r="Q124" s="248">
        <f t="array" ref="Q124">+INDEX('Réel 2024'!$A$2:$AO$501,MATCH($A124,'Réel 2024'!$A$2:$A$501,0),MATCH(Q$2,'Réel 2024'!$A$2:$AO$2,0))</f>
        <v>1797.53</v>
      </c>
      <c r="R124" s="253"/>
      <c r="S124" s="276">
        <f t="shared" si="37"/>
        <v>114.12000000000012</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3344.8923076923074</v>
      </c>
      <c r="G125" s="316"/>
      <c r="H125" s="315"/>
      <c r="I125" s="254"/>
      <c r="J125" s="241"/>
      <c r="K125" s="315"/>
      <c r="L125" s="256">
        <f>SUMIFS(BV_Data_An_Cour!$O:$O,BV_Data_An_Cour!$U:$U,$B125,BV_Data_An_Cour!$V:$V,$C125,BV_Data_An_Cour!$W:$W,$L$2)</f>
        <v>5511.25</v>
      </c>
      <c r="M125" s="241"/>
      <c r="N125" s="317">
        <f t="shared" si="35"/>
        <v>2166.3576923076926</v>
      </c>
      <c r="O125" s="241"/>
      <c r="P125" s="315"/>
      <c r="Q125" s="256">
        <f t="array" ref="Q125">+INDEX('Réel 2024'!$A$2:$AO$501,MATCH($A125,'Réel 2024'!$A$2:$A$501,0),MATCH(Q$2,'Réel 2024'!$A$2:$AO$2,0))</f>
        <v>5422.58</v>
      </c>
      <c r="R125" s="241"/>
      <c r="S125" s="317">
        <f t="shared" si="37"/>
        <v>88.670000000000073</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2024'!$A$2:$AO$501,MATCH($A126,'Réel 2024'!$A$2:$A$501,0),MATCH(Q$2,'Réel 2024'!$A$2:$AO$2,0))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2024'!$A$2:$AO$501,MATCH($A127,'Réel 2024'!$A$2:$A$501,0),MATCH(Q$2,'Réel 2024'!$A$2:$AO$2,0))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2024'!$A$2:$AO$501,MATCH($A128,'Réel 2024'!$A$2:$A$501,0),MATCH(Q$2,'Réel 2024'!$A$2:$AO$2,0))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2024'!$A$2:$AO$501,MATCH($A129,'Réel 2024'!$A$2:$A$501,0),MATCH(Q$2,'Réel 2024'!$A$2:$AO$2,0))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7574.3371712820526</v>
      </c>
      <c r="G130" s="298"/>
      <c r="H130" s="41"/>
      <c r="I130" s="254"/>
      <c r="J130" s="253"/>
      <c r="K130" s="41"/>
      <c r="L130" s="256">
        <f>SUMIFS(BV_Data_An_Cour!$O:$O,BV_Data_An_Cour!$U:$U,$B130,BV_Data_An_Cour!$V:$V,$C130,BV_Data_An_Cour!$W:$W,$L$2)</f>
        <v>7271.51</v>
      </c>
      <c r="M130" s="253"/>
      <c r="N130" s="276">
        <f t="shared" si="35"/>
        <v>-302.8271712820524</v>
      </c>
      <c r="O130" s="253"/>
      <c r="P130" s="41"/>
      <c r="Q130" s="256">
        <f t="array" ref="Q130">+INDEX('Réel 2024'!$A$2:$AO$501,MATCH($A130,'Réel 2024'!$A$2:$A$501,0),MATCH(Q$2,'Réel 2024'!$A$2:$AO$2,0))</f>
        <v>7069.51</v>
      </c>
      <c r="R130" s="253"/>
      <c r="S130" s="276">
        <f t="shared" si="37"/>
        <v>202</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9209.3262523076937</v>
      </c>
      <c r="G131" s="316"/>
      <c r="H131" s="315"/>
      <c r="I131" s="271"/>
      <c r="J131" s="241"/>
      <c r="K131" s="315"/>
      <c r="L131" s="272">
        <f>SUMIFS(BV_Data_An_Cour!$O:$O,BV_Data_An_Cour!$U:$U,$B131,BV_Data_An_Cour!$V:$V,$C131,BV_Data_An_Cour!$W:$W,$L$2)</f>
        <v>8415.69</v>
      </c>
      <c r="M131" s="241"/>
      <c r="N131" s="317">
        <f t="shared" si="35"/>
        <v>-793.63625230769321</v>
      </c>
      <c r="O131" s="241"/>
      <c r="P131" s="315"/>
      <c r="Q131" s="272">
        <f t="array" ref="Q131">+INDEX('Réel 2024'!$A$2:$AO$501,MATCH($A131,'Réel 2024'!$A$2:$A$501,0),MATCH(Q$2,'Réel 2024'!$A$2:$AO$2,0))</f>
        <v>5534.23</v>
      </c>
      <c r="R131" s="241"/>
      <c r="S131" s="317">
        <f t="shared" si="37"/>
        <v>2881.4600000000009</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4744.805047384616</v>
      </c>
      <c r="G132" s="298"/>
      <c r="H132" s="41"/>
      <c r="I132" s="254"/>
      <c r="J132" s="253"/>
      <c r="K132" s="41"/>
      <c r="L132" s="256">
        <f>SUMIFS(BV_Data_An_Cour!$O:$O,BV_Data_An_Cour!$U:$U,$B132,BV_Data_An_Cour!$V:$V,$C132,BV_Data_An_Cour!$W:$W,$L$2)</f>
        <v>3747.7599999999998</v>
      </c>
      <c r="M132" s="253"/>
      <c r="N132" s="276">
        <f t="shared" si="35"/>
        <v>-997.04504738461628</v>
      </c>
      <c r="O132" s="253"/>
      <c r="P132" s="41"/>
      <c r="Q132" s="256">
        <f t="array" ref="Q132">+INDEX('Réel 2024'!$A$2:$AO$501,MATCH($A132,'Réel 2024'!$A$2:$A$501,0),MATCH(Q$2,'Réel 2024'!$A$2:$AO$2,0))</f>
        <v>1332.74</v>
      </c>
      <c r="R132" s="253"/>
      <c r="S132" s="276">
        <f t="shared" si="37"/>
        <v>2415.0199999999995</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2068.7616943589746</v>
      </c>
      <c r="G133" s="298"/>
      <c r="H133" s="41"/>
      <c r="I133" s="254"/>
      <c r="J133" s="253"/>
      <c r="K133" s="41"/>
      <c r="L133" s="256">
        <f>SUMIFS(BV_Data_An_Cour!$O:$O,BV_Data_An_Cour!$U:$U,$B133,BV_Data_An_Cour!$V:$V,$C133,BV_Data_An_Cour!$W:$W,$L$2)</f>
        <v>805.56</v>
      </c>
      <c r="M133" s="253"/>
      <c r="N133" s="276">
        <f t="shared" si="35"/>
        <v>-1263.2016943589747</v>
      </c>
      <c r="O133" s="253"/>
      <c r="P133" s="41"/>
      <c r="Q133" s="256">
        <f t="array" ref="Q133">+INDEX('Réel 2024'!$A$2:$AO$501,MATCH($A133,'Réel 2024'!$A$2:$A$501,0),MATCH(Q$2,'Réel 2024'!$A$2:$AO$2,0))</f>
        <v>970.23</v>
      </c>
      <c r="R133" s="253"/>
      <c r="S133" s="276">
        <f t="shared" si="37"/>
        <v>-164.67000000000007</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2024'!$A$2:$AO$501,MATCH($A134,'Réel 2024'!$A$2:$A$501,0),MATCH(Q$2,'Réel 2024'!$A$2:$AO$2,0))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0.34711656136273983</v>
      </c>
      <c r="F135" s="307">
        <f>+SUM(F123:F134)</f>
        <v>44673.901447384618</v>
      </c>
      <c r="G135" s="308"/>
      <c r="H135" s="306"/>
      <c r="I135" s="307"/>
      <c r="J135" s="308" t="s">
        <v>119</v>
      </c>
      <c r="K135" s="306">
        <f>L135/L$108</f>
        <v>0.30281853373694473</v>
      </c>
      <c r="L135" s="307">
        <f>SUM(L123:L134)</f>
        <v>40355.660000000003</v>
      </c>
      <c r="M135" s="355"/>
      <c r="N135" s="320">
        <f t="shared" si="35"/>
        <v>-4318.2414473846147</v>
      </c>
      <c r="O135" s="308" t="s">
        <v>119</v>
      </c>
      <c r="P135" s="306">
        <f>Q135/Q$108</f>
        <v>0.33468818042433079</v>
      </c>
      <c r="Q135" s="307">
        <f>+SUM(Q123:Q134)</f>
        <v>33483.300000000003</v>
      </c>
      <c r="R135" s="355"/>
      <c r="S135" s="320">
        <f t="shared" si="37"/>
        <v>6872.3600000000006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2024'!$A$2:$AO$501,MATCH($A136,'Réel 2024'!$A$2:$A$501,0),MATCH(Q$2,'Réel 2024'!$A$2:$AO$2,0))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2024'!$A$2:$AO$501,MATCH($A137,'Réel 2024'!$A$2:$A$501,0),MATCH(Q$2,'Réel 2024'!$A$2:$AO$2,0))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1284.1532888888889</v>
      </c>
      <c r="G138" s="300"/>
      <c r="H138" s="318"/>
      <c r="I138" s="248"/>
      <c r="J138" s="246"/>
      <c r="K138" s="318"/>
      <c r="L138" s="248">
        <f>SUMIFS(BV_Data_An_Cour!$O:$O,BV_Data_An_Cour!$U:$U,$B138,BV_Data_An_Cour!$V:$V,$C138,BV_Data_An_Cour!$W:$W,$L$2)</f>
        <v>1424.94</v>
      </c>
      <c r="M138" s="246"/>
      <c r="N138" s="296">
        <f t="shared" si="35"/>
        <v>140.78671111111112</v>
      </c>
      <c r="O138" s="246"/>
      <c r="P138" s="318"/>
      <c r="Q138" s="248">
        <f t="array" ref="Q138">+INDEX('Réel 2024'!$A$2:$AO$501,MATCH($A138,'Réel 2024'!$A$2:$A$501,0),MATCH(Q$2,'Réel 2024'!$A$2:$AO$2,0))</f>
        <v>673.78</v>
      </c>
      <c r="R138" s="246"/>
      <c r="S138" s="296">
        <f t="shared" si="37"/>
        <v>751.16000000000008</v>
      </c>
      <c r="T138" s="41"/>
      <c r="U138" s="38"/>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3757.6856226933323</v>
      </c>
      <c r="G139" s="298"/>
      <c r="H139" s="41"/>
      <c r="I139" s="254"/>
      <c r="J139" s="253"/>
      <c r="K139" s="41"/>
      <c r="L139" s="256">
        <f>SUMIFS(BV_Data_An_Cour!$O:$O,BV_Data_An_Cour!$U:$U,$B139,BV_Data_An_Cour!$V:$V,$C139,BV_Data_An_Cour!$W:$W,$L$2)</f>
        <v>4055.32</v>
      </c>
      <c r="M139" s="253"/>
      <c r="N139" s="276">
        <f t="shared" si="35"/>
        <v>297.63437730666783</v>
      </c>
      <c r="O139" s="253"/>
      <c r="P139" s="41"/>
      <c r="Q139" s="256">
        <f t="array" ref="Q139">+INDEX('Réel 2024'!$A$2:$AO$501,MATCH($A139,'Réel 2024'!$A$2:$A$501,0),MATCH(Q$2,'Réel 2024'!$A$2:$AO$2,0))</f>
        <v>2790.26</v>
      </c>
      <c r="R139" s="253"/>
      <c r="S139" s="276">
        <f t="shared" si="37"/>
        <v>1265.06</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555.6702437740496</v>
      </c>
      <c r="G140" s="298"/>
      <c r="H140" s="41"/>
      <c r="I140" s="254"/>
      <c r="J140" s="253"/>
      <c r="K140" s="41"/>
      <c r="L140" s="256">
        <f>SUMIFS(BV_Data_An_Cour!$O:$O,BV_Data_An_Cour!$U:$U,$B140,BV_Data_An_Cour!$V:$V,$C140,BV_Data_An_Cour!$W:$W,$L$2)</f>
        <v>307.99</v>
      </c>
      <c r="M140" s="253"/>
      <c r="N140" s="276">
        <f t="shared" si="35"/>
        <v>-247.68024377404959</v>
      </c>
      <c r="O140" s="253"/>
      <c r="P140" s="41"/>
      <c r="Q140" s="256">
        <f t="array" ref="Q140">+INDEX('Réel 2024'!$A$2:$AO$501,MATCH($A140,'Réel 2024'!$A$2:$A$501,0),MATCH(Q$2,'Réel 2024'!$A$2:$AO$2,0))</f>
        <v>703.86</v>
      </c>
      <c r="R140" s="253"/>
      <c r="S140" s="276">
        <f t="shared" si="37"/>
        <v>-395.87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1398.8494640536576</v>
      </c>
      <c r="G141" s="300"/>
      <c r="H141" s="318"/>
      <c r="I141" s="248"/>
      <c r="J141" s="246"/>
      <c r="K141" s="318"/>
      <c r="L141" s="248">
        <f>SUMIFS(BV_Data_An_Cour!$O:$O,BV_Data_An_Cour!$U:$U,$B141,BV_Data_An_Cour!$V:$V,$C141,BV_Data_An_Cour!$W:$W,$L$2)</f>
        <v>2003.58</v>
      </c>
      <c r="M141" s="246"/>
      <c r="N141" s="296">
        <f t="shared" si="35"/>
        <v>604.73053594634234</v>
      </c>
      <c r="O141" s="246"/>
      <c r="P141" s="318"/>
      <c r="Q141" s="248">
        <f t="array" ref="Q141">+INDEX('Réel 2024'!$A$2:$AO$501,MATCH($A141,'Réel 2024'!$A$2:$A$501,0),MATCH(Q$2,'Réel 2024'!$A$2:$AO$2,0))</f>
        <v>1512.86</v>
      </c>
      <c r="R141" s="246"/>
      <c r="S141" s="296">
        <f t="shared" si="37"/>
        <v>490.72</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83.885533333333328</v>
      </c>
      <c r="G142" s="298"/>
      <c r="H142" s="41"/>
      <c r="I142" s="254"/>
      <c r="J142" s="253"/>
      <c r="K142" s="41"/>
      <c r="L142" s="256">
        <f>SUMIFS(BV_Data_An_Cour!$O:$O,BV_Data_An_Cour!$U:$U,$B142,BV_Data_An_Cour!$V:$V,$C142,BV_Data_An_Cour!$W:$W,$L$2)</f>
        <v>0</v>
      </c>
      <c r="M142" s="253"/>
      <c r="N142" s="276">
        <f t="shared" si="35"/>
        <v>-83.885533333333328</v>
      </c>
      <c r="O142" s="253"/>
      <c r="P142" s="41"/>
      <c r="Q142" s="256">
        <f t="array" ref="Q142">+INDEX('Réel 2024'!$A$2:$AO$501,MATCH($A142,'Réel 2024'!$A$2:$A$501,0),MATCH(Q$2,'Réel 2024'!$A$2:$AO$2,0))</f>
        <v>259.11</v>
      </c>
      <c r="R142" s="253"/>
      <c r="S142" s="276">
        <f t="shared" si="37"/>
        <v>-259.11</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28.333333333333332</v>
      </c>
      <c r="G143" s="298"/>
      <c r="H143" s="41"/>
      <c r="I143" s="254"/>
      <c r="J143" s="253"/>
      <c r="K143" s="41"/>
      <c r="L143" s="256">
        <f>SUMIFS(BV_Data_An_Cour!$O:$O,BV_Data_An_Cour!$U:$U,$B143,BV_Data_An_Cour!$V:$V,$C143,BV_Data_An_Cour!$W:$W,$L$2)</f>
        <v>0</v>
      </c>
      <c r="M143" s="253"/>
      <c r="N143" s="276">
        <f t="shared" si="35"/>
        <v>-28.333333333333332</v>
      </c>
      <c r="O143" s="253"/>
      <c r="P143" s="41"/>
      <c r="Q143" s="256">
        <f t="array" ref="Q143">+INDEX('Réel 2024'!$A$2:$AO$501,MATCH($A143,'Réel 2024'!$A$2:$A$501,0),MATCH(Q$2,'Réel 2024'!$A$2:$AO$2,0))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323.61939737591996</v>
      </c>
      <c r="G144" s="298"/>
      <c r="H144" s="41"/>
      <c r="I144" s="254"/>
      <c r="J144" s="253"/>
      <c r="K144" s="41"/>
      <c r="L144" s="256">
        <f>SUMIFS(BV_Data_An_Cour!$O:$O,BV_Data_An_Cour!$U:$U,$B144,BV_Data_An_Cour!$V:$V,$C144,BV_Data_An_Cour!$W:$W,$L$2)</f>
        <v>81.94</v>
      </c>
      <c r="M144" s="253"/>
      <c r="N144" s="276">
        <f t="shared" si="35"/>
        <v>-241.67939737591996</v>
      </c>
      <c r="O144" s="253"/>
      <c r="P144" s="41"/>
      <c r="Q144" s="256">
        <f t="array" ref="Q144">+INDEX('Réel 2024'!$A$2:$AO$501,MATCH($A144,'Réel 2024'!$A$2:$A$501,0),MATCH(Q$2,'Réel 2024'!$A$2:$AO$2,0))</f>
        <v>133.69999999999999</v>
      </c>
      <c r="R144" s="253"/>
      <c r="S144" s="276">
        <f t="shared" si="37"/>
        <v>-51.759999999999991</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62.764554844243328</v>
      </c>
      <c r="G145" s="298"/>
      <c r="H145" s="41"/>
      <c r="I145" s="254"/>
      <c r="J145" s="253"/>
      <c r="K145" s="41"/>
      <c r="L145" s="256">
        <f>SUMIFS(BV_Data_An_Cour!$O:$O,BV_Data_An_Cour!$U:$U,$B145,BV_Data_An_Cour!$V:$V,$C145,BV_Data_An_Cour!$W:$W,$L$2)</f>
        <v>66.8</v>
      </c>
      <c r="M145" s="253"/>
      <c r="N145" s="276">
        <f t="shared" si="35"/>
        <v>4.0354451557566691</v>
      </c>
      <c r="O145" s="253"/>
      <c r="P145" s="41"/>
      <c r="Q145" s="256">
        <f t="array" ref="Q145">+INDEX('Réel 2024'!$A$2:$AO$501,MATCH($A145,'Réel 2024'!$A$2:$A$501,0),MATCH(Q$2,'Réel 2024'!$A$2:$AO$2,0))</f>
        <v>45.06</v>
      </c>
      <c r="R145" s="253"/>
      <c r="S145" s="276">
        <f t="shared" si="37"/>
        <v>21.739999999999995</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48.216844138156659</v>
      </c>
      <c r="G146" s="298"/>
      <c r="H146" s="41"/>
      <c r="I146" s="254"/>
      <c r="J146" s="253"/>
      <c r="K146" s="41"/>
      <c r="L146" s="256">
        <f>SUMIFS(BV_Data_An_Cour!$O:$O,BV_Data_An_Cour!$U:$U,$B146,BV_Data_An_Cour!$V:$V,$C146,BV_Data_An_Cour!$W:$W,$L$2)</f>
        <v>20.48</v>
      </c>
      <c r="M146" s="253"/>
      <c r="N146" s="276">
        <f t="shared" si="35"/>
        <v>-27.736844138156659</v>
      </c>
      <c r="O146" s="253"/>
      <c r="P146" s="41"/>
      <c r="Q146" s="256">
        <f t="array" ref="Q146">+INDEX('Réel 2024'!$A$2:$AO$501,MATCH($A146,'Réel 2024'!$A$2:$A$501,0),MATCH(Q$2,'Réel 2024'!$A$2:$AO$2,0))</f>
        <v>12.36</v>
      </c>
      <c r="R146" s="253"/>
      <c r="S146" s="276">
        <f t="shared" si="37"/>
        <v>8.120000000000001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107.35161743797669</v>
      </c>
      <c r="G147" s="298"/>
      <c r="H147" s="41"/>
      <c r="I147" s="254"/>
      <c r="J147" s="253"/>
      <c r="K147" s="41"/>
      <c r="L147" s="256">
        <f>SUMIFS(BV_Data_An_Cour!$O:$O,BV_Data_An_Cour!$U:$U,$B147,BV_Data_An_Cour!$V:$V,$C147,BV_Data_An_Cour!$W:$W,$L$2)</f>
        <v>23.52</v>
      </c>
      <c r="M147" s="253"/>
      <c r="N147" s="276">
        <f t="shared" si="35"/>
        <v>-83.831617437976689</v>
      </c>
      <c r="O147" s="253"/>
      <c r="P147" s="41"/>
      <c r="Q147" s="256">
        <f t="array" ref="Q147">+INDEX('Réel 2024'!$A$2:$AO$501,MATCH($A147,'Réel 2024'!$A$2:$A$501,0),MATCH(Q$2,'Réel 2024'!$A$2:$AO$2,0))</f>
        <v>70.680000000000007</v>
      </c>
      <c r="R147" s="253"/>
      <c r="S147" s="276">
        <f t="shared" si="37"/>
        <v>-47.160000000000011</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218.46437169698484</v>
      </c>
      <c r="G148" s="298"/>
      <c r="H148" s="41"/>
      <c r="I148" s="254"/>
      <c r="J148" s="253"/>
      <c r="K148" s="41"/>
      <c r="L148" s="256">
        <f>SUMIFS(BV_Data_An_Cour!$O:$O,BV_Data_An_Cour!$U:$U,$B148,BV_Data_An_Cour!$V:$V,$C148,BV_Data_An_Cour!$W:$W,$L$2)</f>
        <v>1426.22</v>
      </c>
      <c r="M148" s="253"/>
      <c r="N148" s="276">
        <f t="shared" si="35"/>
        <v>1207.7556283030151</v>
      </c>
      <c r="O148" s="253"/>
      <c r="P148" s="41"/>
      <c r="Q148" s="256">
        <f t="array" ref="Q148">+INDEX('Réel 2024'!$A$2:$AO$501,MATCH($A148,'Réel 2024'!$A$2:$A$501,0),MATCH(Q$2,'Réel 2024'!$A$2:$AO$2,0))</f>
        <v>38.28</v>
      </c>
      <c r="R148" s="253"/>
      <c r="S148" s="276">
        <f t="shared" si="37"/>
        <v>1387.94</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820.93352030523874</v>
      </c>
      <c r="G149" s="298"/>
      <c r="H149" s="41"/>
      <c r="I149" s="254"/>
      <c r="J149" s="253"/>
      <c r="K149" s="41"/>
      <c r="L149" s="952">
        <f>SUMIFS(BV_Data_An_Cour!$O:$O,BV_Data_An_Cour!$U:$U,$B149,BV_Data_An_Cour!$V:$V,$C149,BV_Data_An_Cour!$W:$W,$L$2)</f>
        <v>867.2</v>
      </c>
      <c r="M149" s="253"/>
      <c r="N149" s="961">
        <f t="shared" si="35"/>
        <v>46.266479694761301</v>
      </c>
      <c r="O149" s="253"/>
      <c r="P149" s="41"/>
      <c r="Q149" s="256">
        <f t="array" ref="Q149">+INDEX('Réel 2024'!$A$2:$AO$501,MATCH($A149,'Réel 2024'!$A$2:$A$501,0),MATCH(Q$2,'Réel 2024'!$A$2:$AO$2,0))</f>
        <v>855.99</v>
      </c>
      <c r="R149" s="253"/>
      <c r="S149" s="276">
        <f t="shared" si="37"/>
        <v>11.210000000000036</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2024'!$A$2:$AO$501,MATCH($A150,'Réel 2024'!$A$2:$A$501,0),MATCH(Q$2,'Réel 2024'!$A$2:$AO$2,0))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2024'!$A$2:$AO$501,MATCH($A151,'Réel 2024'!$A$2:$A$501,0),MATCH(Q$2,'Réel 2024'!$A$2:$AO$2,0))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2024'!$A$2:$AO$501,MATCH($A152,'Réel 2024'!$A$2:$A$501,0),MATCH(Q$2,'Réel 2024'!$A$2:$AO$2,0))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6.75208064636761E-2</v>
      </c>
      <c r="F153" s="307">
        <f>+SUM(F136:F152)</f>
        <v>8689.9277918751141</v>
      </c>
      <c r="G153" s="308"/>
      <c r="H153" s="306"/>
      <c r="I153" s="307"/>
      <c r="J153" s="308" t="s">
        <v>119</v>
      </c>
      <c r="K153" s="306">
        <f>L153/L$108</f>
        <v>7.7123403794238043E-2</v>
      </c>
      <c r="L153" s="307">
        <f>+SUM(L136:L152)</f>
        <v>10277.99</v>
      </c>
      <c r="M153" s="311"/>
      <c r="N153" s="307">
        <f t="shared" si="35"/>
        <v>1588.0622081248857</v>
      </c>
      <c r="O153" s="308" t="s">
        <v>119</v>
      </c>
      <c r="P153" s="306">
        <f>Q153/Q$108</f>
        <v>7.0928709147551922E-2</v>
      </c>
      <c r="Q153" s="307">
        <f>+SUM(Q136:Q152)</f>
        <v>7095.9399999999987</v>
      </c>
      <c r="R153" s="311"/>
      <c r="S153" s="307">
        <f t="shared" si="37"/>
        <v>3182.0500000000011</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0.89940554489964275</v>
      </c>
      <c r="F155" s="307">
        <f>F122+F135+F153</f>
        <v>115753.49362858402</v>
      </c>
      <c r="G155" s="308"/>
      <c r="H155" s="306"/>
      <c r="I155" s="307"/>
      <c r="J155" s="308" t="s">
        <v>119</v>
      </c>
      <c r="K155" s="306">
        <f>L155/L$108</f>
        <v>0.77331212475184186</v>
      </c>
      <c r="L155" s="307">
        <f>L122+L135+L153</f>
        <v>103056.84000000001</v>
      </c>
      <c r="M155" s="311"/>
      <c r="N155" s="320">
        <f t="shared" ref="N155:N162" si="39">L155-F155</f>
        <v>-12696.653628584012</v>
      </c>
      <c r="O155" s="308" t="s">
        <v>119</v>
      </c>
      <c r="P155" s="306">
        <f>Q155/Q$108</f>
        <v>0.95210412454531035</v>
      </c>
      <c r="Q155" s="307">
        <f>Q122+Q135+Q153</f>
        <v>95251.61</v>
      </c>
      <c r="R155" s="311"/>
      <c r="S155" s="320">
        <f t="shared" ref="S155:S162" si="40">L155-Q155</f>
        <v>7805.2300000000105</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2024'!$A$2:$AO$501,MATCH($A156,'Réel 2024'!$A$2:$A$501,0),MATCH(Q$2,'Réel 2024'!$A$2:$AO$2,0))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2024'!$A$2:$AO$501,MATCH($A157,'Réel 2024'!$A$2:$A$501,0),MATCH(Q$2,'Réel 2024'!$A$2:$AO$2,0))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2024'!$A$2:$AO$501,MATCH($A158,'Réel 2024'!$A$2:$A$501,0),MATCH(Q$2,'Réel 2024'!$A$2:$AO$2,0))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0">
        <f>E159/474</f>
        <v>0.7996835443037974</v>
      </c>
      <c r="E159" s="323">
        <f>F159/D97</f>
        <v>379.04999999999995</v>
      </c>
      <c r="F159" s="254">
        <f>+INDEX('Budget original'!$A$2:$AO$501,MATCH($A159,'Budget original'!$A$2:$A$501,0),MATCH(F$2,'Budget original'!$A$2:$AO$2,0))</f>
        <v>12887.699999999999</v>
      </c>
      <c r="G159" s="298"/>
      <c r="H159" s="41"/>
      <c r="I159" s="254"/>
      <c r="J159" s="1161">
        <f>K159/474</f>
        <v>0.94213381555153708</v>
      </c>
      <c r="K159" s="323">
        <f>L159/J97</f>
        <v>446.57142857142856</v>
      </c>
      <c r="L159" s="256">
        <f>-SUMIFS(BV_Data_An_Cour!$O:$O,BV_Data_An_Cour!$U:$U,$B159,BV_Data_An_Cour!$V:$V,$C159,BV_Data_An_Cour!$W:$W,L$2)</f>
        <v>12504</v>
      </c>
      <c r="M159" s="253"/>
      <c r="N159" s="276">
        <f t="shared" si="39"/>
        <v>-383.69999999999891</v>
      </c>
      <c r="O159" s="253"/>
      <c r="P159" s="41"/>
      <c r="Q159" s="256">
        <f t="array" ref="Q159">+INDEX('Réel 2024'!$A$2:$AO$501,MATCH($A159,'Réel 2024'!$A$2:$A$501,0),MATCH(Q$2,'Réel 2024'!$A$2:$AO$2,0))</f>
        <v>12594</v>
      </c>
      <c r="R159" s="253"/>
      <c r="S159" s="276">
        <f t="shared" si="40"/>
        <v>-90</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2024'!$A$2:$AO$501,MATCH($A160,'Réel 2024'!$A$2:$A$501,0),MATCH(Q$2,'Réel 2024'!$A$2:$AO$2,0))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2024'!$A$2:$AO$501,MATCH($A161,'Réel 2024'!$A$2:$A$501,0),MATCH(Q$2,'Réel 2024'!$A$2:$AO$2,0))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2024'!$A$2:$AO$501,MATCH($A162,'Réel 2024'!$A$2:$A$501,0),MATCH(Q$2,'Réel 2024'!$A$2:$AO$2,0))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12887.699999999999</v>
      </c>
      <c r="G163" s="308"/>
      <c r="H163" s="306"/>
      <c r="I163" s="307"/>
      <c r="J163" s="308"/>
      <c r="K163" s="306"/>
      <c r="L163" s="307">
        <f>+SUM(L156:L162)</f>
        <v>12504</v>
      </c>
      <c r="M163" s="311"/>
      <c r="N163" s="307">
        <f>SUM(N156:N159)</f>
        <v>-383.69999999999891</v>
      </c>
      <c r="O163" s="308"/>
      <c r="P163" s="306"/>
      <c r="Q163" s="307">
        <f>+SUM(Q156:Q162)</f>
        <v>12594</v>
      </c>
      <c r="R163" s="311"/>
      <c r="S163" s="307">
        <f>+SUM(S156:S162)</f>
        <v>-90</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25834.206371415974</v>
      </c>
      <c r="G165" s="361"/>
      <c r="H165" s="333"/>
      <c r="I165" s="335"/>
      <c r="J165" s="332"/>
      <c r="K165" s="334"/>
      <c r="L165" s="335">
        <f>L108-L155+L163</f>
        <v>42713.969999999987</v>
      </c>
      <c r="M165" s="332"/>
      <c r="N165" s="335">
        <f>L165-F165</f>
        <v>16879.763628584013</v>
      </c>
      <c r="O165" s="332"/>
      <c r="P165" s="1147">
        <f>+Q165/Q93</f>
        <v>1.227381682744251E-2</v>
      </c>
      <c r="Q165" s="335">
        <f>Q108-Q155+Q163</f>
        <v>17385.659999999887</v>
      </c>
      <c r="R165" s="332"/>
      <c r="S165" s="335">
        <f>L165-Q165</f>
        <v>25328.3100000001</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30"/>
      <c r="H170" s="1226"/>
      <c r="I170" s="1227"/>
      <c r="J170" s="1230" t="s">
        <v>344</v>
      </c>
      <c r="K170" s="1226"/>
      <c r="L170" s="1227"/>
      <c r="M170" s="1230" t="s">
        <v>3310</v>
      </c>
      <c r="N170" s="1227"/>
      <c r="O170" s="1225" t="s">
        <v>345</v>
      </c>
      <c r="P170" s="1226"/>
      <c r="Q170" s="1227"/>
      <c r="R170" s="1228" t="s">
        <v>3312</v>
      </c>
      <c r="S170" s="1229"/>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419.72</v>
      </c>
      <c r="E172" s="291">
        <f>+INDEX('Budget original'!$A$2:$AO$501,MATCH($A172,'Budget original'!$A$2:$A$501,0),MATCH(E$2,'Budget original'!$A$2:$AO$2,0))</f>
        <v>142704.80000000002</v>
      </c>
      <c r="F172" s="291">
        <f>+INDEX('Budget original'!$A$2:$AO$501,MATCH($A172,'Budget original'!$A$2:$A$501,0),MATCH(F$2,'Budget original'!$A$2:$AO$2,0))</f>
        <v>111309.74400000002</v>
      </c>
      <c r="G172" s="277"/>
      <c r="H172" s="291"/>
      <c r="I172" s="291"/>
      <c r="J172" s="277">
        <f>-SUMIFS(BV_Data_An_Cour!$O:$O,BV_Data_An_Cour!$U:$U,$B172,BV_Data_An_Cour!$V:$V,$C172,BV_Data_An_Cour!$W:$W,J$2)</f>
        <v>402</v>
      </c>
      <c r="K172" s="254">
        <f>-SUMIFS(BV_Data_An_Cour!$O:$O,BV_Data_An_Cour!$X:$X,"Oui",BV_Data_An_Cour!$U:$U,$B172,BV_Data_An_Cour!$V:$V,$C172)</f>
        <v>136183.58000000002</v>
      </c>
      <c r="L172" s="256">
        <f>-SUMIFS(BV_Data_An_Cour!$O:$O,BV_Data_An_Cour!$U:$U,$B172,BV_Data_An_Cour!$V:$V,$C172,BV_Data_An_Cour!$W:$W,$L$2)</f>
        <v>107609.11000000002</v>
      </c>
      <c r="M172" s="292">
        <f>(K172-E172)/E172</f>
        <v>-4.5697271570402681E-2</v>
      </c>
      <c r="N172" s="276">
        <f>L172-F172</f>
        <v>-3700.6340000000055</v>
      </c>
      <c r="O172" s="277">
        <f t="array" ref="O172">+INDEX('Réel 2024'!$A$2:$AO$501,MATCH($A172,'Réel 2024'!$A$2:$A$501,0),MATCH(O$2,'Réel 2024'!$A$2:$AO$2,0))</f>
        <v>332</v>
      </c>
      <c r="P172" s="254">
        <f t="array" ref="P172">+INDEX('Réel 2024'!$A$2:$AO$501,MATCH($A172,'Réel 2024'!$A$2:$A$501,0),MATCH(P$2,'Réel 2024'!$A$2:$AO$2,0))</f>
        <v>128489.54</v>
      </c>
      <c r="Q172" s="256">
        <f t="array" ref="Q172">+INDEX('Réel 2024'!$A$2:$AO$501,MATCH($A172,'Réel 2024'!$A$2:$A$501,0),MATCH(Q$2,'Réel 2024'!$A$2:$AO$2,0))</f>
        <v>104017.37</v>
      </c>
      <c r="R172" s="292">
        <f>IF(O172=0,0,J172/O172)</f>
        <v>1.2108433734939759</v>
      </c>
      <c r="S172" s="276">
        <f>L172-Q172</f>
        <v>3591.7400000000198</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0.78</v>
      </c>
      <c r="G173" s="277"/>
      <c r="H173" s="349"/>
      <c r="I173" s="362"/>
      <c r="J173" s="277"/>
      <c r="K173" s="41"/>
      <c r="L173" s="362">
        <f>IF(L172=0,0,L172/K172)</f>
        <v>0.79017683335979272</v>
      </c>
      <c r="M173" s="292"/>
      <c r="N173" s="276"/>
      <c r="O173" s="277"/>
      <c r="P173" s="41"/>
      <c r="Q173" s="362">
        <f>Q172/P172</f>
        <v>0.80953959365096961</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340</v>
      </c>
      <c r="F174" s="364"/>
      <c r="G174" s="365"/>
      <c r="H174" s="363"/>
      <c r="I174" s="364"/>
      <c r="J174" s="365"/>
      <c r="K174" s="363">
        <f>IFERROR(K172/J172,0)</f>
        <v>338.76512437810948</v>
      </c>
      <c r="L174" s="364"/>
      <c r="M174" s="295"/>
      <c r="N174" s="296"/>
      <c r="O174" s="365"/>
      <c r="P174" s="363">
        <f>IFERROR(P172/O172,0)</f>
        <v>387.01668674698794</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149.33000000000001</v>
      </c>
      <c r="E175" s="291">
        <f>+INDEX('Budget original'!$A$2:$AO$501,MATCH($A175,'Budget original'!$A$2:$A$501,0),MATCH(E$2,'Budget original'!$A$2:$AO$2,0))</f>
        <v>40319.1</v>
      </c>
      <c r="F175" s="291">
        <f>+INDEX('Budget original'!$A$2:$AO$501,MATCH($A175,'Budget original'!$A$2:$A$501,0),MATCH(F$2,'Budget original'!$A$2:$AO$2,0))</f>
        <v>25804.223999999998</v>
      </c>
      <c r="G175" s="367"/>
      <c r="H175" s="291"/>
      <c r="I175" s="291"/>
      <c r="J175" s="367">
        <f>-SUMIFS(BV_Data_An_Cour!$O:$O,BV_Data_An_Cour!$U:$U,$B175,BV_Data_An_Cour!$V:$V,$C175,BV_Data_An_Cour!$W:$W,J$2)</f>
        <v>211</v>
      </c>
      <c r="K175" s="271">
        <f>-SUMIFS(BV_Data_An_Cour!$O:$O,BV_Data_An_Cour!$X:$X,"Oui",BV_Data_An_Cour!$U:$U,$B175,BV_Data_An_Cour!$V:$V,$C175)</f>
        <v>68514.11</v>
      </c>
      <c r="L175" s="256">
        <f>-SUMIFS(BV_Data_An_Cour!$O:$O,BV_Data_An_Cour!$U:$U,$B175,BV_Data_An_Cour!$V:$V,$C175,BV_Data_An_Cour!$W:$W,$L$2)</f>
        <v>42536.59</v>
      </c>
      <c r="M175" s="292">
        <f>(K175-E175)/E175</f>
        <v>0.69929661128348608</v>
      </c>
      <c r="N175" s="317">
        <f>L175-F175</f>
        <v>16732.365999999998</v>
      </c>
      <c r="O175" s="367">
        <f t="array" ref="O175">+INDEX('Réel 2024'!$A$2:$AO$501,MATCH($A175,'Réel 2024'!$A$2:$A$501,0),MATCH(O$2,'Réel 2024'!$A$2:$AO$2,0))</f>
        <v>127</v>
      </c>
      <c r="P175" s="271">
        <f t="array" ref="P175">+INDEX('Réel 2024'!$A$2:$AO$501,MATCH($A175,'Réel 2024'!$A$2:$A$501,0),MATCH(P$2,'Réel 2024'!$A$2:$AO$2,0))</f>
        <v>43175.59</v>
      </c>
      <c r="Q175" s="256">
        <f t="array" ref="Q175">+INDEX('Réel 2024'!$A$2:$AO$501,MATCH($A175,'Réel 2024'!$A$2:$A$501,0),MATCH(Q$2,'Réel 2024'!$A$2:$AO$2,0))</f>
        <v>29221.799999999901</v>
      </c>
      <c r="R175" s="292">
        <f>IF(O175=0,0,J175/O175)</f>
        <v>1.6614173228346456</v>
      </c>
      <c r="S175" s="276">
        <f>L175-Q175</f>
        <v>13314.790000000095</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0.62084423193996097</v>
      </c>
      <c r="M176" s="264"/>
      <c r="N176" s="265"/>
      <c r="O176" s="253"/>
      <c r="P176" s="41"/>
      <c r="Q176" s="362">
        <f>Q175/P175</f>
        <v>0.67681298622670594</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324.71142180094785</v>
      </c>
      <c r="L177" s="364"/>
      <c r="M177" s="295"/>
      <c r="N177" s="296"/>
      <c r="O177" s="365"/>
      <c r="P177" s="363">
        <f>IFERROR(P175/O175,0)</f>
        <v>339.96527559055113</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272.07</v>
      </c>
      <c r="E178" s="291">
        <f>+INDEX('Budget original'!$A$2:$AO$501,MATCH($A178,'Budget original'!$A$2:$A$501,0),MATCH(E$2,'Budget original'!$A$2:$AO$2,0))</f>
        <v>83530.931399999987</v>
      </c>
      <c r="F178" s="291">
        <f>+INDEX('Budget original'!$A$2:$AO$501,MATCH($A178,'Budget original'!$A$2:$A$501,0),MATCH(F$2,'Budget original'!$A$2:$AO$2,0))</f>
        <v>61812.889235999988</v>
      </c>
      <c r="G178" s="277"/>
      <c r="H178" s="291"/>
      <c r="I178" s="291"/>
      <c r="J178" s="277">
        <f>-SUMIFS(BV_Data_An_Cour!$O:$O,BV_Data_An_Cour!$U:$U,$B178,BV_Data_An_Cour!$V:$V,$C178,BV_Data_An_Cour!$W:$W,J$2)</f>
        <v>249</v>
      </c>
      <c r="K178" s="271">
        <f>-SUMIFS(BV_Data_An_Cour!$O:$O,BV_Data_An_Cour!$X:$X,"Oui",BV_Data_An_Cour!$U:$U,$B178,BV_Data_An_Cour!$V:$V,$C178)</f>
        <v>93153.12000000001</v>
      </c>
      <c r="L178" s="256">
        <f>-SUMIFS(BV_Data_An_Cour!$O:$O,BV_Data_An_Cour!$U:$U,$B178,BV_Data_An_Cour!$V:$V,$C178,BV_Data_An_Cour!$W:$W,$L$2)</f>
        <v>74412.23000000001</v>
      </c>
      <c r="M178" s="292">
        <f>(K178-E178)/E178</f>
        <v>0.11519311994646363</v>
      </c>
      <c r="N178" s="276">
        <f>L178-F178</f>
        <v>12599.340764000022</v>
      </c>
      <c r="O178" s="277">
        <f t="array" ref="O178">+INDEX('Réel 2024'!$A$2:$AO$501,MATCH($A178,'Réel 2024'!$A$2:$A$501,0),MATCH(O$2,'Réel 2024'!$A$2:$AO$2,0))</f>
        <v>231</v>
      </c>
      <c r="P178" s="271">
        <f t="array" ref="P178">+INDEX('Réel 2024'!$A$2:$AO$501,MATCH($A178,'Réel 2024'!$A$2:$A$501,0),MATCH(P$2,'Réel 2024'!$A$2:$AO$2,0))</f>
        <v>78242.6899999999</v>
      </c>
      <c r="Q178" s="256">
        <f t="array" ref="Q178">+INDEX('Réel 2024'!$A$2:$AO$501,MATCH($A178,'Réel 2024'!$A$2:$A$501,0),MATCH(Q$2,'Réel 2024'!$A$2:$AO$2,0))</f>
        <v>57114.249999999898</v>
      </c>
      <c r="R178" s="292">
        <f>IF(O178=0,0,J178/O178)</f>
        <v>1.0779220779220779</v>
      </c>
      <c r="S178" s="276">
        <f>L178-Q178</f>
        <v>17297.980000000112</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0.79881629300231705</v>
      </c>
      <c r="M179" s="292"/>
      <c r="N179" s="276">
        <f>L179-F179</f>
        <v>5.8816293002317055E-2</v>
      </c>
      <c r="O179" s="277"/>
      <c r="P179" s="349"/>
      <c r="Q179" s="362">
        <f>Q178/P178</f>
        <v>0.72996276073841493</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307.02</v>
      </c>
      <c r="F180" s="364"/>
      <c r="G180" s="365"/>
      <c r="H180" s="363"/>
      <c r="I180" s="364"/>
      <c r="J180" s="365"/>
      <c r="K180" s="363">
        <f>IFERROR(K178/J178,0)</f>
        <v>374.10891566265065</v>
      </c>
      <c r="L180" s="364"/>
      <c r="M180" s="295"/>
      <c r="N180" s="296"/>
      <c r="O180" s="365"/>
      <c r="P180" s="363">
        <f>IFERROR(P178/O178,0)</f>
        <v>338.71294372294329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39.564</v>
      </c>
      <c r="E181" s="291">
        <f>+INDEX('Budget original'!$A$2:$AO$501,MATCH($A181,'Budget original'!$A$2:$A$501,0),MATCH(E$2,'Budget original'!$A$2:$AO$2,0))</f>
        <v>10682.28</v>
      </c>
      <c r="F181" s="291">
        <f>+INDEX('Budget original'!$A$2:$AO$501,MATCH($A181,'Budget original'!$A$2:$A$501,0),MATCH(F$2,'Budget original'!$A$2:$AO$2,0))</f>
        <v>8011.7100000000009</v>
      </c>
      <c r="G181" s="367"/>
      <c r="H181" s="291"/>
      <c r="I181" s="291"/>
      <c r="J181" s="367">
        <f>-SUMIFS(BV_Data_An_Cour!$O:$O,BV_Data_An_Cour!$U:$U,$B181,BV_Data_An_Cour!$V:$V,$C181,BV_Data_An_Cour!$W:$W,J$2)</f>
        <v>0</v>
      </c>
      <c r="K181" s="271">
        <f>-SUMIFS(BV_Data_An_Cour!$O:$O,BV_Data_An_Cour!$X:$X,"Oui",BV_Data_An_Cour!$U:$U,$B181,BV_Data_An_Cour!$V:$V,$C181)</f>
        <v>8246.2000000000007</v>
      </c>
      <c r="L181" s="272">
        <f>-SUMIFS(BV_Data_An_Cour!$O:$O,BV_Data_An_Cour!$U:$U,$B181,BV_Data_An_Cour!$V:$V,$C181,BV_Data_An_Cour!$W:$W,$L$2)</f>
        <v>6572.43</v>
      </c>
      <c r="M181" s="371">
        <f>IF(E181=0,0,(K181-E181)/E181)</f>
        <v>-0.22804869372456066</v>
      </c>
      <c r="N181" s="317">
        <f>L181-F181</f>
        <v>-1439.2800000000007</v>
      </c>
      <c r="O181" s="367">
        <f t="array" ref="O181">+INDEX('Réel 2024'!$A$2:$AO$501,MATCH($A181,'Réel 2024'!$A$2:$A$501,0),MATCH(O$2,'Réel 2024'!$A$2:$AO$2,0))</f>
        <v>0</v>
      </c>
      <c r="P181" s="271">
        <f t="array" ref="P181">+INDEX('Réel 2024'!$A$2:$AO$501,MATCH($A181,'Réel 2024'!$A$2:$A$501,0),MATCH(P$2,'Réel 2024'!$A$2:$AO$2,0))</f>
        <v>9823.68</v>
      </c>
      <c r="Q181" s="272">
        <f t="array" ref="Q181">+INDEX('Réel 2024'!$A$2:$AO$501,MATCH($A181,'Réel 2024'!$A$2:$A$501,0),MATCH(Q$2,'Réel 2024'!$A$2:$AO$2,0))</f>
        <v>8360.49</v>
      </c>
      <c r="R181" s="292">
        <f>IF(O181=0,0,J181/O181)</f>
        <v>0</v>
      </c>
      <c r="S181" s="317">
        <f>L181-Q181</f>
        <v>-1788.0599999999995</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0.75</v>
      </c>
      <c r="G182" s="270"/>
      <c r="H182" s="372"/>
      <c r="I182" s="362"/>
      <c r="J182" s="373"/>
      <c r="K182" s="372">
        <f>IF(J182&lt;=0,0,L182/J182)</f>
        <v>0</v>
      </c>
      <c r="L182" s="362">
        <f>IF(L181=0,0,L181/K181)</f>
        <v>0.79702529650020615</v>
      </c>
      <c r="M182" s="277">
        <f>J182-D182</f>
        <v>0</v>
      </c>
      <c r="N182" s="374"/>
      <c r="O182" s="373"/>
      <c r="P182" s="372"/>
      <c r="Q182" s="362">
        <f>IFERROR(Q181/P181,0)</f>
        <v>0.85105479820189578</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-3339.351196293635</v>
      </c>
      <c r="G184" s="253"/>
      <c r="H184" s="291"/>
      <c r="I184" s="291"/>
      <c r="J184" s="277"/>
      <c r="K184" s="291"/>
      <c r="L184" s="291">
        <f>-SUMIFS(BV_Data_An_Cour!$O:$O,BV_Data_An_Cour!$U:$U,$B184,BV_Data_An_Cour!$V:$V,$C184,BV_Data_An_Cour!$W:$W,$L$2)</f>
        <v>-1154.1300000000001</v>
      </c>
      <c r="M184" s="373"/>
      <c r="N184" s="276">
        <f>L184-F184</f>
        <v>2185.2211962936349</v>
      </c>
      <c r="O184" s="277"/>
      <c r="P184" s="291"/>
      <c r="Q184" s="256">
        <f t="array" ref="Q184">+INDEX('Réel 2024'!$A$2:$AO$501,MATCH($A184,'Réel 2024'!$A$2:$A$501,0),MATCH(Q$2,'Réel 2024'!$A$2:$AO$2,0))</f>
        <v>-1170.23</v>
      </c>
      <c r="R184" s="379"/>
      <c r="S184" s="276">
        <f t="shared" ref="S184:S185" si="41">L184-Q184</f>
        <v>16.099999999999909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880.68400000000008</v>
      </c>
      <c r="E185" s="381">
        <f>E172+E175+E178+E181+E184</f>
        <v>277237.11140000005</v>
      </c>
      <c r="F185" s="382">
        <f>F172+F175+F178+F181+F184</f>
        <v>203599.21603970637</v>
      </c>
      <c r="G185" s="383"/>
      <c r="H185" s="381"/>
      <c r="I185" s="382"/>
      <c r="J185" s="383">
        <f t="shared" ref="J185:L185" si="42">J172+J175+J178+J181+J184</f>
        <v>862</v>
      </c>
      <c r="K185" s="381">
        <f t="shared" si="42"/>
        <v>306097.01</v>
      </c>
      <c r="L185" s="382">
        <f t="shared" si="42"/>
        <v>229976.23</v>
      </c>
      <c r="M185" s="384">
        <f>(K185-E185)/E185</f>
        <v>0.10409825168882478</v>
      </c>
      <c r="N185" s="382">
        <f>L185-F185</f>
        <v>26377.01396029364</v>
      </c>
      <c r="O185" s="383">
        <f t="shared" ref="O185:Q185" si="43">O172+O175+O178+O181+O184</f>
        <v>690</v>
      </c>
      <c r="P185" s="381">
        <f t="shared" si="43"/>
        <v>259731.49999999988</v>
      </c>
      <c r="Q185" s="382">
        <f t="shared" si="43"/>
        <v>197543.67999999979</v>
      </c>
      <c r="R185" s="264">
        <f>IF(O185=0,0,J185/O185)</f>
        <v>1.2492753623188406</v>
      </c>
      <c r="S185" s="382">
        <f t="shared" si="41"/>
        <v>32432.550000000221</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0.73438658703218018</v>
      </c>
      <c r="G186" s="389"/>
      <c r="H186" s="387"/>
      <c r="I186" s="265"/>
      <c r="J186" s="389"/>
      <c r="K186" s="387">
        <f>IF(J185=0,0,K185/J185)</f>
        <v>355.100939675174</v>
      </c>
      <c r="L186" s="265">
        <f>IF(L185=0,0,L185/K185)</f>
        <v>0.75131811970329276</v>
      </c>
      <c r="M186" s="389"/>
      <c r="N186" s="388">
        <f>N185/F185</f>
        <v>0.12955361259912482</v>
      </c>
      <c r="O186" s="389"/>
      <c r="P186" s="387">
        <f>IF(O185=0,0,P185/O185)</f>
        <v>376.42246376811579</v>
      </c>
      <c r="Q186" s="265">
        <f>Q185/P185</f>
        <v>0.76056881818339273</v>
      </c>
      <c r="R186" s="389"/>
      <c r="S186" s="265">
        <f>S185/Q185</f>
        <v>0.16417913243288904</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19093.32</v>
      </c>
      <c r="F188" s="291">
        <f>+INDEX('Budget original'!$A$2:$AO$501,MATCH($A188,'Budget original'!$A$2:$A$501,0),MATCH(F$2,'Budget original'!$A$2:$AO$2,0))</f>
        <v>3360.4243199999996</v>
      </c>
      <c r="G188" s="277"/>
      <c r="H188" s="291"/>
      <c r="I188" s="291"/>
      <c r="J188" s="277"/>
      <c r="K188" s="254">
        <f>-SUMIFS(BV_Data_An_Cour!$O:$O,BV_Data_An_Cour!$X:$X,"Oui",BV_Data_An_Cour!$U:$U,$B188,BV_Data_An_Cour!$V:$V,$C188)</f>
        <v>22735.489999999998</v>
      </c>
      <c r="L188" s="256">
        <f>-SUMIFS(BV_Data_An_Cour!$O:$O,BV_Data_An_Cour!$U:$U,$B188,BV_Data_An_Cour!$V:$V,$C188,BV_Data_An_Cour!$W:$W,$L$2)</f>
        <v>4126.4599999999991</v>
      </c>
      <c r="M188" s="292">
        <f>IF(E188=0,0,(K188-E188)/E188)</f>
        <v>0.19075624354486273</v>
      </c>
      <c r="N188" s="276">
        <f>L188-F188</f>
        <v>766.0356799999995</v>
      </c>
      <c r="O188" s="277"/>
      <c r="P188" s="254">
        <f t="array" ref="P188">+INDEX('Réel 2024'!$A$2:$AO$501,MATCH($A188,'Réel 2024'!$A$2:$A$501,0),MATCH(P$2,'Réel 2024'!$A$2:$AO$2,0))</f>
        <v>23727.87</v>
      </c>
      <c r="Q188" s="256">
        <f t="array" ref="Q188">+INDEX('Réel 2024'!$A$2:$AO$501,MATCH($A188,'Réel 2024'!$A$2:$A$501,0),MATCH(Q$2,'Réel 2024'!$A$2:$AO$2,0))</f>
        <v>4904.13</v>
      </c>
      <c r="R188" s="292">
        <f>IF(O188=0,0,J188/O188)</f>
        <v>0</v>
      </c>
      <c r="S188" s="276">
        <f>L188-Q188</f>
        <v>-777.67000000000098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0.17599999999999999</v>
      </c>
      <c r="G189" s="253"/>
      <c r="H189" s="349"/>
      <c r="I189" s="362"/>
      <c r="J189" s="373"/>
      <c r="K189" s="372"/>
      <c r="L189" s="362">
        <f>IF(L188=0,0,L188/K188)</f>
        <v>0.18149861735990733</v>
      </c>
      <c r="M189" s="373"/>
      <c r="N189" s="374"/>
      <c r="O189" s="373"/>
      <c r="P189" s="372"/>
      <c r="Q189" s="362">
        <f>IFERROR(Q188/P188,0)</f>
        <v>0.20668226857277963</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8190</v>
      </c>
      <c r="F191" s="291">
        <f>+INDEX('Budget original'!$A$2:$AO$501,MATCH($A191,'Budget original'!$A$2:$A$501,0),MATCH(F$2,'Budget original'!$A$2:$AO$2,0))</f>
        <v>5733</v>
      </c>
      <c r="G191" s="253"/>
      <c r="H191" s="291"/>
      <c r="I191" s="291"/>
      <c r="J191" s="277">
        <f>-SUMIFS(BV_Data_An_Cour!$O:$O,BV_Data_An_Cour!$U:$U,$B191,BV_Data_An_Cour!$V:$V,$C191,BV_Data_An_Cour!$W:$W,J$2)</f>
        <v>47</v>
      </c>
      <c r="K191" s="254">
        <f>-SUMIFS(BV_Data_An_Cour!$O:$O,BV_Data_An_Cour!$X:$X,"Oui",BV_Data_An_Cour!$U:$U,$B191,BV_Data_An_Cour!$V:$V,$C191)</f>
        <v>8810.2999999999993</v>
      </c>
      <c r="L191" s="256">
        <f>-SUMIFS(BV_Data_An_Cour!$O:$O,BV_Data_An_Cour!$U:$U,$B191,BV_Data_An_Cour!$V:$V,$C191,BV_Data_An_Cour!$W:$W,$L$2)</f>
        <v>7200.49</v>
      </c>
      <c r="M191" s="292">
        <f>IF(E191=0,0,(K191-E191)/E191)</f>
        <v>7.5738705738705656E-2</v>
      </c>
      <c r="N191" s="276">
        <f>L191-F191</f>
        <v>1467.4899999999998</v>
      </c>
      <c r="O191" s="373"/>
      <c r="P191" s="254">
        <f t="array" ref="P191">+INDEX('Réel 2024'!$A$2:$AO$501,MATCH($A191,'Réel 2024'!$A$2:$A$501,0),MATCH(P$2,'Réel 2024'!$A$2:$AO$2,0))</f>
        <v>6372.75</v>
      </c>
      <c r="Q191" s="256">
        <f t="array" ref="Q191">+INDEX('Réel 2024'!$A$2:$AO$501,MATCH($A191,'Réel 2024'!$A$2:$A$501,0),MATCH(Q$2,'Réel 2024'!$A$2:$AO$2,0))</f>
        <v>4669.1499999999996</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0.81728090984415969</v>
      </c>
      <c r="M192" s="373"/>
      <c r="N192" s="374"/>
      <c r="O192" s="373"/>
      <c r="P192" s="372"/>
      <c r="Q192" s="362">
        <f>IF(Q191=0,0,Q191/P191)</f>
        <v>0.73267427719587297</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304520.43140000006</v>
      </c>
      <c r="F194" s="281">
        <f>F185+F188+F191</f>
        <v>212692.64035970636</v>
      </c>
      <c r="G194" s="282"/>
      <c r="H194" s="279"/>
      <c r="I194" s="281"/>
      <c r="J194" s="282"/>
      <c r="K194" s="279">
        <f t="shared" ref="K194:L194" si="44">K185+K188+K191</f>
        <v>337642.8</v>
      </c>
      <c r="L194" s="281">
        <f t="shared" si="44"/>
        <v>241303.18</v>
      </c>
      <c r="M194" s="399">
        <f>L195-F195</f>
        <v>1.621886727948274E-2</v>
      </c>
      <c r="N194" s="281">
        <f>L194-F194</f>
        <v>28610.539640293631</v>
      </c>
      <c r="O194" s="282"/>
      <c r="P194" s="279">
        <f t="shared" ref="P194:Q194" si="45">P185+P188+P191</f>
        <v>289832.11999999988</v>
      </c>
      <c r="Q194" s="281">
        <f t="shared" si="45"/>
        <v>207116.95999999979</v>
      </c>
      <c r="R194" s="399"/>
      <c r="S194" s="281">
        <f>L194-Q194</f>
        <v>34186.220000000205</v>
      </c>
      <c r="T194" s="319"/>
      <c r="U194" s="1160"/>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0.69845113308776929</v>
      </c>
      <c r="G195" s="283"/>
      <c r="H195" s="284"/>
      <c r="I195" s="287"/>
      <c r="J195" s="283"/>
      <c r="K195" s="284"/>
      <c r="L195" s="287">
        <f>L194/K194</f>
        <v>0.71467000036725203</v>
      </c>
      <c r="M195" s="286"/>
      <c r="N195" s="287">
        <f>N194/F194</f>
        <v>0.13451588918124957</v>
      </c>
      <c r="O195" s="283"/>
      <c r="P195" s="284"/>
      <c r="Q195" s="287">
        <f>Q194/P194</f>
        <v>0.71461009911530815</v>
      </c>
      <c r="R195" s="286"/>
      <c r="S195" s="287">
        <f>L194/S194</f>
        <v>7.0584925739083921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15681.80576923077</v>
      </c>
      <c r="G198" s="253"/>
      <c r="H198" s="41"/>
      <c r="I198" s="254"/>
      <c r="J198" s="253"/>
      <c r="K198" s="41"/>
      <c r="L198" s="256">
        <f>SUMIFS(BV_Data_An_Cour!$O:$O,BV_Data_An_Cour!$U:$U,$B198,BV_Data_An_Cour!$V:$V,$C198,BV_Data_An_Cour!$W:$W,$L$2)</f>
        <v>13348.82</v>
      </c>
      <c r="M198" s="253"/>
      <c r="N198" s="256">
        <f t="shared" ref="N198:N229" si="46">L198-F198</f>
        <v>-2332.9857692307705</v>
      </c>
      <c r="O198" s="253"/>
      <c r="P198" s="41"/>
      <c r="Q198" s="256">
        <f t="array" ref="Q198">+INDEX('Réel 2024'!$A$2:$AO$501,MATCH($A198,'Réel 2024'!$A$2:$A$501,0),MATCH(Q$2,'Réel 2024'!$A$2:$AO$2,0))</f>
        <v>11834.22</v>
      </c>
      <c r="R198" s="253"/>
      <c r="S198" s="256">
        <f t="shared" ref="S198:S229" si="47">L198-Q198</f>
        <v>1514.6000000000004</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8357.6063384615391</v>
      </c>
      <c r="G199" s="298"/>
      <c r="H199" s="41"/>
      <c r="I199" s="248"/>
      <c r="J199" s="253"/>
      <c r="K199" s="41"/>
      <c r="L199" s="256">
        <f>SUMIFS(BV_Data_An_Cour!$O:$O,BV_Data_An_Cour!$U:$U,$B199,BV_Data_An_Cour!$V:$V,$C199,BV_Data_An_Cour!$W:$W,$L$2)</f>
        <v>8258.5</v>
      </c>
      <c r="M199" s="253"/>
      <c r="N199" s="256">
        <f t="shared" si="46"/>
        <v>-99.106338461539053</v>
      </c>
      <c r="O199" s="253"/>
      <c r="P199" s="41"/>
      <c r="Q199" s="256">
        <f t="array" ref="Q199">+INDEX('Réel 2024'!$A$2:$AO$501,MATCH($A199,'Réel 2024'!$A$2:$A$501,0),MATCH(Q$2,'Réel 2024'!$A$2:$AO$2,0))</f>
        <v>8017.89</v>
      </c>
      <c r="R199" s="253"/>
      <c r="S199" s="276">
        <f t="shared" si="47"/>
        <v>240.60999999999967</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15667.776923076923</v>
      </c>
      <c r="G200" s="316"/>
      <c r="H200" s="315"/>
      <c r="I200" s="254"/>
      <c r="J200" s="241"/>
      <c r="K200" s="315"/>
      <c r="L200" s="272">
        <f>SUMIFS(BV_Data_An_Cour!$O:$O,BV_Data_An_Cour!$U:$U,$B200,BV_Data_An_Cour!$V:$V,$C200,BV_Data_An_Cour!$W:$W,$L$2)</f>
        <v>14236.65</v>
      </c>
      <c r="M200" s="241"/>
      <c r="N200" s="272">
        <f t="shared" si="46"/>
        <v>-1431.126923076923</v>
      </c>
      <c r="O200" s="241"/>
      <c r="P200" s="315"/>
      <c r="Q200" s="272">
        <f t="array" ref="Q200">+INDEX('Réel 2024'!$A$2:$AO$501,MATCH($A200,'Réel 2024'!$A$2:$A$501,0),MATCH(Q$2,'Réel 2024'!$A$2:$AO$2,0))</f>
        <v>13760.3</v>
      </c>
      <c r="R200" s="241"/>
      <c r="S200" s="317">
        <f t="shared" si="47"/>
        <v>476.35000000000036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4">
        <f>F201/E172</f>
        <v>0.18699909804122805</v>
      </c>
      <c r="F201" s="254">
        <f>+INDEX('Budget original'!$A$2:$AO$501,MATCH($A201,'Budget original'!$A$2:$A$501,0),MATCH(F$2,'Budget original'!$A$2:$AO$2,0))</f>
        <v>26685.668886153846</v>
      </c>
      <c r="G201" s="298"/>
      <c r="H201" s="41"/>
      <c r="I201" s="254"/>
      <c r="J201" s="253"/>
      <c r="K201" s="1162">
        <f>L201/K172</f>
        <v>0.17210466930007273</v>
      </c>
      <c r="L201" s="256">
        <f>SUMIFS(BV_Data_An_Cour!$O:$O,BV_Data_An_Cour!$U:$U,$B201,BV_Data_An_Cour!$V:$V,$C201,BV_Data_An_Cour!$W:$W,$L$2)</f>
        <v>23437.83</v>
      </c>
      <c r="M201" s="253"/>
      <c r="N201" s="256">
        <f t="shared" si="46"/>
        <v>-3247.8388861538442</v>
      </c>
      <c r="O201" s="253"/>
      <c r="P201" s="41"/>
      <c r="Q201" s="256">
        <f t="array" ref="Q201">+INDEX('Réel 2024'!$A$2:$AO$501,MATCH($A201,'Réel 2024'!$A$2:$A$501,0),MATCH(Q$2,'Réel 2024'!$A$2:$AO$2,0))</f>
        <v>25122.77</v>
      </c>
      <c r="R201" s="253"/>
      <c r="S201" s="276">
        <f t="shared" si="47"/>
        <v>-1684.9399999999987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2024'!$A$2:$AO$501,MATCH($A202,'Réel 2024'!$A$2:$A$501,0),MATCH(Q$2,'Réel 2024'!$A$2:$AO$2,0))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2024'!$A$2:$AO$501,MATCH($A203,'Réel 2024'!$A$2:$A$501,0),MATCH(Q$2,'Réel 2024'!$A$2:$AO$2,0))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2024'!$A$2:$AO$501,MATCH($A204,'Réel 2024'!$A$2:$A$501,0),MATCH(Q$2,'Réel 2024'!$A$2:$AO$2,0))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16264.186953694872</v>
      </c>
      <c r="G205" s="298"/>
      <c r="H205" s="41"/>
      <c r="I205" s="254"/>
      <c r="J205" s="253"/>
      <c r="K205" s="41"/>
      <c r="L205" s="256">
        <f>SUMIFS(BV_Data_An_Cour!$O:$O,BV_Data_An_Cour!$U:$U,$B205,BV_Data_An_Cour!$V:$V,$C205,BV_Data_An_Cour!$W:$W,$L$2)</f>
        <v>15719.95</v>
      </c>
      <c r="M205" s="253"/>
      <c r="N205" s="256">
        <f t="shared" si="46"/>
        <v>-544.23695369487177</v>
      </c>
      <c r="O205" s="253"/>
      <c r="P205" s="41"/>
      <c r="Q205" s="256">
        <f t="array" ref="Q205">+INDEX('Réel 2024'!$A$2:$AO$501,MATCH($A205,'Réel 2024'!$A$2:$A$501,0),MATCH(Q$2,'Réel 2024'!$A$2:$AO$2,0))</f>
        <v>16428.09</v>
      </c>
      <c r="R205" s="253"/>
      <c r="S205" s="276">
        <f t="shared" si="47"/>
        <v>-708.13999999999942</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19774.9585868713</v>
      </c>
      <c r="G206" s="316"/>
      <c r="H206" s="315"/>
      <c r="I206" s="272"/>
      <c r="J206" s="241"/>
      <c r="K206" s="315"/>
      <c r="L206" s="272">
        <f>SUMIFS(BV_Data_An_Cour!$O:$O,BV_Data_An_Cour!$U:$U,$B206,BV_Data_An_Cour!$V:$V,$C206,BV_Data_An_Cour!$W:$W,$L$2)</f>
        <v>19588.689999999999</v>
      </c>
      <c r="M206" s="241"/>
      <c r="N206" s="272">
        <f t="shared" si="46"/>
        <v>-186.26858687130152</v>
      </c>
      <c r="O206" s="241"/>
      <c r="P206" s="315"/>
      <c r="Q206" s="272">
        <f t="array" ref="Q206">+INDEX('Réel 2024'!$A$2:$AO$501,MATCH($A206,'Réel 2024'!$A$2:$A$501,0),MATCH(Q$2,'Réel 2024'!$A$2:$AO$2,0))</f>
        <v>19262.22</v>
      </c>
      <c r="R206" s="241"/>
      <c r="S206" s="317">
        <f t="shared" si="47"/>
        <v>326.46999999999753</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10188.402576279343</v>
      </c>
      <c r="G207" s="298"/>
      <c r="H207" s="41"/>
      <c r="I207" s="254"/>
      <c r="J207" s="253"/>
      <c r="K207" s="41"/>
      <c r="L207" s="256">
        <f>SUMIFS(BV_Data_An_Cour!$O:$O,BV_Data_An_Cour!$U:$U,$B207,BV_Data_An_Cour!$V:$V,$C207,BV_Data_An_Cour!$W:$W,$L$2)</f>
        <v>9363.9599999999991</v>
      </c>
      <c r="M207" s="253"/>
      <c r="N207" s="256">
        <f t="shared" si="46"/>
        <v>-824.44257627934348</v>
      </c>
      <c r="O207" s="253"/>
      <c r="P207" s="41"/>
      <c r="Q207" s="256">
        <f t="array" ref="Q207">+INDEX('Réel 2024'!$A$2:$AO$501,MATCH($A207,'Réel 2024'!$A$2:$A$501,0),MATCH(Q$2,'Réel 2024'!$A$2:$AO$2,0))</f>
        <v>11101.57</v>
      </c>
      <c r="R207" s="253"/>
      <c r="S207" s="276">
        <f t="shared" si="47"/>
        <v>-1737.6100000000006</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4442.2008419783351</v>
      </c>
      <c r="G208" s="298"/>
      <c r="H208" s="41"/>
      <c r="I208" s="254"/>
      <c r="J208" s="253"/>
      <c r="K208" s="41"/>
      <c r="L208" s="256">
        <f>SUMIFS(BV_Data_An_Cour!$O:$O,BV_Data_An_Cour!$U:$U,$B208,BV_Data_An_Cour!$V:$V,$C208,BV_Data_An_Cour!$W:$W,$L$2)</f>
        <v>4356.6099999999997</v>
      </c>
      <c r="M208" s="253"/>
      <c r="N208" s="256">
        <f t="shared" si="46"/>
        <v>-85.590841978335447</v>
      </c>
      <c r="O208" s="253"/>
      <c r="P208" s="41"/>
      <c r="Q208" s="256">
        <f t="array" ref="Q208">+INDEX('Réel 2024'!$A$2:$AO$501,MATCH($A208,'Réel 2024'!$A$2:$A$501,0),MATCH(Q$2,'Réel 2024'!$A$2:$AO$2,0))</f>
        <v>3705.23</v>
      </c>
      <c r="R208" s="253"/>
      <c r="S208" s="276">
        <f t="shared" si="47"/>
        <v>651.37999999999965</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2024'!$A$2:$AO$501,MATCH($A209,'Réel 2024'!$A$2:$A$501,0),MATCH(Q$2,'Réel 2024'!$A$2:$AO$2,0))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0.5503839092775864</v>
      </c>
      <c r="F210" s="307">
        <f>+SUM(F198:F209)</f>
        <v>117062.60687574693</v>
      </c>
      <c r="G210" s="308"/>
      <c r="H210" s="306"/>
      <c r="I210" s="307"/>
      <c r="J210" s="308" t="s">
        <v>175</v>
      </c>
      <c r="K210" s="306">
        <f>L210/L$194</f>
        <v>0.4488586101517601</v>
      </c>
      <c r="L210" s="307">
        <f>+SUM(L198:L209)</f>
        <v>108311.01</v>
      </c>
      <c r="M210" s="355"/>
      <c r="N210" s="307">
        <f t="shared" si="46"/>
        <v>-8751.5968757469382</v>
      </c>
      <c r="O210" s="308" t="s">
        <v>175</v>
      </c>
      <c r="P210" s="306">
        <f>Q210/Q$194</f>
        <v>0.52739423174229727</v>
      </c>
      <c r="Q210" s="307">
        <f>+SUM(Q198:Q209)</f>
        <v>109232.29</v>
      </c>
      <c r="R210" s="355"/>
      <c r="S210" s="320">
        <f t="shared" si="47"/>
        <v>-921.27999999999884</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9556.1841615752273</v>
      </c>
      <c r="G211" s="298"/>
      <c r="H211" s="41"/>
      <c r="I211" s="254"/>
      <c r="J211" s="253"/>
      <c r="K211" s="41"/>
      <c r="L211" s="256">
        <f>SUMIFS(BV_Data_An_Cour!$O:$O,BV_Data_An_Cour!$U:$U,$B211,BV_Data_An_Cour!$V:$V,$C211,BV_Data_An_Cour!$W:$W,$L$2)</f>
        <v>10953.22</v>
      </c>
      <c r="M211" s="253"/>
      <c r="N211" s="276">
        <f t="shared" si="46"/>
        <v>1397.035838424772</v>
      </c>
      <c r="O211" s="253"/>
      <c r="P211" s="41"/>
      <c r="Q211" s="256">
        <f t="array" ref="Q211">+INDEX('Réel 2024'!$A$2:$AO$501,MATCH($A211,'Réel 2024'!$A$2:$A$501,0),MATCH(Q$2,'Réel 2024'!$A$2:$AO$2,0))</f>
        <v>10338.09</v>
      </c>
      <c r="R211" s="253"/>
      <c r="S211" s="276">
        <f t="shared" si="47"/>
        <v>615.1299999999992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3422.1774033237093</v>
      </c>
      <c r="G212" s="298"/>
      <c r="H212" s="41"/>
      <c r="I212" s="254"/>
      <c r="J212" s="253"/>
      <c r="K212" s="41"/>
      <c r="L212" s="256">
        <f>SUMIFS(BV_Data_An_Cour!$O:$O,BV_Data_An_Cour!$U:$U,$B212,BV_Data_An_Cour!$V:$V,$C212,BV_Data_An_Cour!$W:$W,$L$2)</f>
        <v>1302.06</v>
      </c>
      <c r="M212" s="253"/>
      <c r="N212" s="276">
        <f t="shared" si="46"/>
        <v>-2120.1174033237094</v>
      </c>
      <c r="O212" s="253"/>
      <c r="P212" s="41"/>
      <c r="Q212" s="256">
        <f t="array" ref="Q212">+INDEX('Réel 2024'!$A$2:$AO$501,MATCH($A212,'Réel 2024'!$A$2:$A$501,0),MATCH(Q$2,'Réel 2024'!$A$2:$AO$2,0))</f>
        <v>5248.5599999999904</v>
      </c>
      <c r="R212" s="253"/>
      <c r="S212" s="276">
        <f t="shared" si="47"/>
        <v>-3946.4999999999905</v>
      </c>
      <c r="T212" s="41"/>
      <c r="U212" s="1178"/>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11083.739355555555</v>
      </c>
      <c r="G213" s="300"/>
      <c r="H213" s="318"/>
      <c r="I213" s="248"/>
      <c r="J213" s="246"/>
      <c r="K213" s="318"/>
      <c r="L213" s="256">
        <f>SUMIFS(BV_Data_An_Cour!$O:$O,BV_Data_An_Cour!$U:$U,$B213,BV_Data_An_Cour!$V:$V,$C213,BV_Data_An_Cour!$W:$W,$L$2)</f>
        <v>12916.71</v>
      </c>
      <c r="M213" s="246"/>
      <c r="N213" s="296">
        <f t="shared" si="46"/>
        <v>1832.9706444444437</v>
      </c>
      <c r="O213" s="246"/>
      <c r="P213" s="318"/>
      <c r="Q213" s="256">
        <f t="array" ref="Q213">+INDEX('Réel 2024'!$A$2:$AO$501,MATCH($A213,'Réel 2024'!$A$2:$A$501,0),MATCH(Q$2,'Réel 2024'!$A$2:$AO$2,0))</f>
        <v>15457.5</v>
      </c>
      <c r="R213" s="246"/>
      <c r="S213" s="296">
        <f t="shared" si="47"/>
        <v>-2540.7900000000009</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4783.316137386666</v>
      </c>
      <c r="G214" s="298"/>
      <c r="H214" s="41"/>
      <c r="I214" s="254"/>
      <c r="J214" s="253"/>
      <c r="K214" s="41"/>
      <c r="L214" s="272">
        <f>SUMIFS(BV_Data_An_Cour!$O:$O,BV_Data_An_Cour!$U:$U,$B214,BV_Data_An_Cour!$V:$V,$C214,BV_Data_An_Cour!$W:$W,$L$2)</f>
        <v>5080.0200000000004</v>
      </c>
      <c r="M214" s="253"/>
      <c r="N214" s="276">
        <f t="shared" si="46"/>
        <v>296.70386261333442</v>
      </c>
      <c r="O214" s="253"/>
      <c r="P214" s="41"/>
      <c r="Q214" s="272">
        <f t="array" ref="Q214">+INDEX('Réel 2024'!$A$2:$AO$501,MATCH($A214,'Réel 2024'!$A$2:$A$501,0),MATCH(Q$2,'Réel 2024'!$A$2:$AO$2,0))</f>
        <v>4412.6099999999997</v>
      </c>
      <c r="R214" s="253"/>
      <c r="S214" s="276">
        <f t="shared" si="47"/>
        <v>667.41000000000076</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1050.8751805936904</v>
      </c>
      <c r="G215" s="298"/>
      <c r="H215" s="41"/>
      <c r="I215" s="254"/>
      <c r="J215" s="253"/>
      <c r="K215" s="41"/>
      <c r="L215" s="256">
        <f>SUMIFS(BV_Data_An_Cour!$O:$O,BV_Data_An_Cour!$U:$U,$B215,BV_Data_An_Cour!$V:$V,$C215,BV_Data_An_Cour!$W:$W,$L$2)</f>
        <v>669.31</v>
      </c>
      <c r="M215" s="253"/>
      <c r="N215" s="276">
        <f t="shared" si="46"/>
        <v>-381.56518059369046</v>
      </c>
      <c r="O215" s="253"/>
      <c r="P215" s="41"/>
      <c r="Q215" s="256">
        <f t="array" ref="Q215">+INDEX('Réel 2024'!$A$2:$AO$501,MATCH($A215,'Réel 2024'!$A$2:$A$501,0),MATCH(Q$2,'Réel 2024'!$A$2:$AO$2,0))</f>
        <v>1503.97</v>
      </c>
      <c r="R215" s="253"/>
      <c r="S215" s="276">
        <f t="shared" si="47"/>
        <v>-834.66000000000008</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11128.231788350371</v>
      </c>
      <c r="G216" s="300"/>
      <c r="H216" s="318"/>
      <c r="I216" s="248"/>
      <c r="J216" s="246"/>
      <c r="K216" s="318"/>
      <c r="L216" s="256">
        <f>SUMIFS(BV_Data_An_Cour!$O:$O,BV_Data_An_Cour!$U:$U,$B216,BV_Data_An_Cour!$V:$V,$C216,BV_Data_An_Cour!$W:$W,$L$2)</f>
        <v>18251.97</v>
      </c>
      <c r="M216" s="246"/>
      <c r="N216" s="296">
        <f t="shared" si="46"/>
        <v>7123.7382116496301</v>
      </c>
      <c r="O216" s="246"/>
      <c r="P216" s="318"/>
      <c r="Q216" s="256">
        <f t="array" ref="Q216">+INDEX('Réel 2024'!$A$2:$AO$501,MATCH($A216,'Réel 2024'!$A$2:$A$501,0),MATCH(Q$2,'Réel 2024'!$A$2:$AO$2,0))</f>
        <v>10931.7</v>
      </c>
      <c r="R216" s="246"/>
      <c r="S216" s="296">
        <f t="shared" si="47"/>
        <v>7320.27</v>
      </c>
      <c r="T216" s="41"/>
      <c r="U216" s="38"/>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2024'!$A$2:$AO$501,MATCH($A217,'Réel 2024'!$A$2:$A$501,0),MATCH(Q$2,'Réel 2024'!$A$2:$AO$2,0))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4769.9204222222234</v>
      </c>
      <c r="G218" s="298"/>
      <c r="H218" s="41"/>
      <c r="I218" s="254"/>
      <c r="J218" s="253"/>
      <c r="K218" s="41"/>
      <c r="L218" s="256">
        <f>SUMIFS(BV_Data_An_Cour!$O:$O,BV_Data_An_Cour!$U:$U,$B218,BV_Data_An_Cour!$V:$V,$C218,BV_Data_An_Cour!$W:$W,$L$2)</f>
        <v>3095.58</v>
      </c>
      <c r="M218" s="253"/>
      <c r="N218" s="276">
        <f t="shared" si="46"/>
        <v>-1674.3404222222234</v>
      </c>
      <c r="O218" s="253"/>
      <c r="P218" s="41"/>
      <c r="Q218" s="256">
        <f t="array" ref="Q218">+INDEX('Réel 2024'!$A$2:$AO$501,MATCH($A218,'Réel 2024'!$A$2:$A$501,0),MATCH(Q$2,'Réel 2024'!$A$2:$AO$2,0))</f>
        <v>3252.8</v>
      </c>
      <c r="R218" s="253"/>
      <c r="S218" s="276">
        <f t="shared" si="47"/>
        <v>-157.22000000000025</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1220.4654067864171</v>
      </c>
      <c r="G219" s="298"/>
      <c r="H219" s="41"/>
      <c r="I219" s="254"/>
      <c r="J219" s="253"/>
      <c r="K219" s="41"/>
      <c r="L219" s="256">
        <f>SUMIFS(BV_Data_An_Cour!$O:$O,BV_Data_An_Cour!$U:$U,$B219,BV_Data_An_Cour!$V:$V,$C219,BV_Data_An_Cour!$W:$W,$L$2)</f>
        <v>699.73</v>
      </c>
      <c r="M219" s="253"/>
      <c r="N219" s="276">
        <f t="shared" si="46"/>
        <v>-520.73540678641712</v>
      </c>
      <c r="O219" s="253"/>
      <c r="P219" s="41"/>
      <c r="Q219" s="256">
        <f t="array" ref="Q219">+INDEX('Réel 2024'!$A$2:$AO$501,MATCH($A219,'Réel 2024'!$A$2:$A$501,0),MATCH(Q$2,'Réel 2024'!$A$2:$AO$2,0))</f>
        <v>1654</v>
      </c>
      <c r="R219" s="253"/>
      <c r="S219" s="276">
        <f t="shared" si="47"/>
        <v>-954.27</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833.0541497518401</v>
      </c>
      <c r="G220" s="298"/>
      <c r="H220" s="41"/>
      <c r="I220" s="254"/>
      <c r="J220" s="253"/>
      <c r="K220" s="41"/>
      <c r="L220" s="256">
        <f>SUMIFS(BV_Data_An_Cour!$O:$O,BV_Data_An_Cour!$U:$U,$B220,BV_Data_An_Cour!$V:$V,$C220,BV_Data_An_Cour!$W:$W,$L$2)</f>
        <v>2994.06</v>
      </c>
      <c r="M220" s="253"/>
      <c r="N220" s="276">
        <f t="shared" si="46"/>
        <v>2161.0058502481597</v>
      </c>
      <c r="O220" s="253"/>
      <c r="P220" s="41"/>
      <c r="Q220" s="256">
        <f t="array" ref="Q220">+INDEX('Réel 2024'!$A$2:$AO$501,MATCH($A220,'Réel 2024'!$A$2:$A$501,0),MATCH(Q$2,'Réel 2024'!$A$2:$AO$2,0))</f>
        <v>695.18</v>
      </c>
      <c r="R220" s="253"/>
      <c r="S220" s="276">
        <f t="shared" si="47"/>
        <v>2298.88</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179.20450168848672</v>
      </c>
      <c r="G221" s="298"/>
      <c r="H221" s="41"/>
      <c r="I221" s="254"/>
      <c r="J221" s="253"/>
      <c r="K221" s="41"/>
      <c r="L221" s="256">
        <f>SUMIFS(BV_Data_An_Cour!$O:$O,BV_Data_An_Cour!$U:$U,$B221,BV_Data_An_Cour!$V:$V,$C221,BV_Data_An_Cour!$W:$W,$L$2)</f>
        <v>161.29</v>
      </c>
      <c r="M221" s="253"/>
      <c r="N221" s="276">
        <f t="shared" si="46"/>
        <v>-17.914501688486723</v>
      </c>
      <c r="O221" s="253"/>
      <c r="P221" s="41"/>
      <c r="Q221" s="256">
        <f t="array" ref="Q221">+INDEX('Réel 2024'!$A$2:$AO$501,MATCH($A221,'Réel 2024'!$A$2:$A$501,0),MATCH(Q$2,'Réel 2024'!$A$2:$AO$2,0))</f>
        <v>127.04</v>
      </c>
      <c r="R221" s="253"/>
      <c r="S221" s="276">
        <f t="shared" si="47"/>
        <v>34.249999999999986</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92.790571276313315</v>
      </c>
      <c r="G222" s="298"/>
      <c r="H222" s="41"/>
      <c r="I222" s="254"/>
      <c r="J222" s="253"/>
      <c r="K222" s="41"/>
      <c r="L222" s="256">
        <f>SUMIFS(BV_Data_An_Cour!$O:$O,BV_Data_An_Cour!$U:$U,$B222,BV_Data_An_Cour!$V:$V,$C222,BV_Data_An_Cour!$W:$W,$L$2)</f>
        <v>40.950000000000003</v>
      </c>
      <c r="M222" s="253"/>
      <c r="N222" s="276">
        <f t="shared" si="46"/>
        <v>-51.840571276313312</v>
      </c>
      <c r="O222" s="253"/>
      <c r="P222" s="41"/>
      <c r="Q222" s="256">
        <f t="array" ref="Q222">+INDEX('Réel 2024'!$A$2:$AO$501,MATCH($A222,'Réel 2024'!$A$2:$A$501,0),MATCH(Q$2,'Réel 2024'!$A$2:$AO$2,0))</f>
        <v>24.72</v>
      </c>
      <c r="R222" s="253"/>
      <c r="S222" s="276">
        <f t="shared" si="47"/>
        <v>16.230000000000004</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152.45095187595334</v>
      </c>
      <c r="G223" s="298"/>
      <c r="H223" s="41"/>
      <c r="I223" s="254"/>
      <c r="J223" s="253"/>
      <c r="K223" s="41"/>
      <c r="L223" s="256">
        <f>SUMIFS(BV_Data_An_Cour!$O:$O,BV_Data_An_Cour!$U:$U,$B223,BV_Data_An_Cour!$V:$V,$C223,BV_Data_An_Cour!$W:$W,$L$2)</f>
        <v>47.04</v>
      </c>
      <c r="M223" s="253"/>
      <c r="N223" s="276">
        <f t="shared" si="46"/>
        <v>-105.41095187595334</v>
      </c>
      <c r="O223" s="253"/>
      <c r="P223" s="41"/>
      <c r="Q223" s="256">
        <f t="array" ref="Q223">+INDEX('Réel 2024'!$A$2:$AO$501,MATCH($A223,'Réel 2024'!$A$2:$A$501,0),MATCH(Q$2,'Réel 2024'!$A$2:$AO$2,0))</f>
        <v>141.38</v>
      </c>
      <c r="R223" s="253"/>
      <c r="S223" s="276">
        <f t="shared" si="47"/>
        <v>-94.34</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3066.5133988524863</v>
      </c>
      <c r="G224" s="298"/>
      <c r="H224" s="41"/>
      <c r="I224" s="254"/>
      <c r="J224" s="253"/>
      <c r="K224" s="41"/>
      <c r="L224" s="256">
        <f>SUMIFS(BV_Data_An_Cour!$O:$O,BV_Data_An_Cour!$U:$U,$B224,BV_Data_An_Cour!$V:$V,$C224,BV_Data_An_Cour!$W:$W,$L$2)</f>
        <v>1328.27</v>
      </c>
      <c r="M224" s="253"/>
      <c r="N224" s="276">
        <f t="shared" si="46"/>
        <v>-1738.2433988524863</v>
      </c>
      <c r="O224" s="253"/>
      <c r="P224" s="41"/>
      <c r="Q224" s="256">
        <f t="array" ref="Q224">+INDEX('Réel 2024'!$A$2:$AO$501,MATCH($A224,'Réel 2024'!$A$2:$A$501,0),MATCH(Q$2,'Réel 2024'!$A$2:$AO$2,0))</f>
        <v>2955.15</v>
      </c>
      <c r="R224" s="253"/>
      <c r="S224" s="276">
        <f t="shared" si="47"/>
        <v>-1626.88</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1895.3289853790277</v>
      </c>
      <c r="G225" s="298"/>
      <c r="H225" s="41"/>
      <c r="I225" s="254"/>
      <c r="J225" s="253"/>
      <c r="K225" s="41"/>
      <c r="L225" s="256">
        <f>SUMIFS(BV_Data_An_Cour!$O:$O,BV_Data_An_Cour!$U:$U,$B225,BV_Data_An_Cour!$V:$V,$C225,BV_Data_An_Cour!$W:$W,$L$2)</f>
        <v>1951.19</v>
      </c>
      <c r="M225" s="253"/>
      <c r="N225" s="276">
        <f t="shared" si="46"/>
        <v>55.861014620972355</v>
      </c>
      <c r="O225" s="253"/>
      <c r="P225" s="41"/>
      <c r="Q225" s="256">
        <f t="array" ref="Q225">+INDEX('Réel 2024'!$A$2:$AO$501,MATCH($A225,'Réel 2024'!$A$2:$A$501,0),MATCH(Q$2,'Réel 2024'!$A$2:$AO$2,0))</f>
        <v>1859.4</v>
      </c>
      <c r="R225" s="253"/>
      <c r="S225" s="276">
        <f t="shared" si="47"/>
        <v>91.789999999999964</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2024'!$A$2:$AO$501,MATCH($A226,'Réel 2024'!$A$2:$A$501,0),MATCH(Q$2,'Réel 2024'!$A$2:$AO$2,0))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2024'!$A$2:$AO$501,MATCH($A227,'Réel 2024'!$A$2:$A$501,0),MATCH(Q$2,'Réel 2024'!$A$2:$AO$2,0))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2024'!$A$2:$AO$501,MATCH($A228,'Réel 2024'!$A$2:$A$501,0),MATCH(Q$2,'Réel 2024'!$A$2:$AO$2,0))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0.25028723290372462</v>
      </c>
      <c r="F229" s="307">
        <f>+SUM(F211:F228)</f>
        <v>53234.252414617971</v>
      </c>
      <c r="G229" s="308"/>
      <c r="H229" s="306"/>
      <c r="I229" s="307"/>
      <c r="J229" s="308" t="s">
        <v>175</v>
      </c>
      <c r="K229" s="306">
        <f>L229/L$194</f>
        <v>0.24654213011200268</v>
      </c>
      <c r="L229" s="307">
        <f>+SUM(L211:L228)</f>
        <v>59491.4</v>
      </c>
      <c r="M229" s="311"/>
      <c r="N229" s="307">
        <f t="shared" si="46"/>
        <v>6257.1475853820302</v>
      </c>
      <c r="O229" s="308" t="s">
        <v>175</v>
      </c>
      <c r="P229" s="306">
        <f>Q229/Q$194</f>
        <v>0.28294206326705479</v>
      </c>
      <c r="Q229" s="307">
        <f>+SUM(Q211:Q228)</f>
        <v>58602.1</v>
      </c>
      <c r="R229" s="311"/>
      <c r="S229" s="307">
        <f t="shared" si="47"/>
        <v>889.30000000000291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0.80067114218131097</v>
      </c>
      <c r="F231" s="307">
        <f>F210+F229</f>
        <v>170296.8592903649</v>
      </c>
      <c r="G231" s="308"/>
      <c r="H231" s="306"/>
      <c r="I231" s="307"/>
      <c r="J231" s="308" t="s">
        <v>119</v>
      </c>
      <c r="K231" s="306">
        <f>L231/L$194</f>
        <v>0.69540074026376286</v>
      </c>
      <c r="L231" s="307">
        <f>L210+L229</f>
        <v>167802.41</v>
      </c>
      <c r="M231" s="311"/>
      <c r="N231" s="320">
        <f>L231-F231</f>
        <v>-2494.4492903648934</v>
      </c>
      <c r="O231" s="308" t="s">
        <v>119</v>
      </c>
      <c r="P231" s="306">
        <f>Q231/Q$194</f>
        <v>0.810336295009352</v>
      </c>
      <c r="Q231" s="307">
        <f>Q210+Q229</f>
        <v>167834.38999999998</v>
      </c>
      <c r="R231" s="311"/>
      <c r="S231" s="320">
        <f>L231-Q231</f>
        <v>-31.979999999981374</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42395.781069341465</v>
      </c>
      <c r="G233" s="361"/>
      <c r="H233" s="333"/>
      <c r="I233" s="335"/>
      <c r="J233" s="332"/>
      <c r="K233" s="334"/>
      <c r="L233" s="335">
        <f>L194-L231</f>
        <v>73500.76999999999</v>
      </c>
      <c r="M233" s="332"/>
      <c r="N233" s="335">
        <f>L233-F233</f>
        <v>31104.988930658525</v>
      </c>
      <c r="O233" s="332"/>
      <c r="P233" s="1147">
        <f>+Q233/P194</f>
        <v>0.13553559902194354</v>
      </c>
      <c r="Q233" s="335">
        <f>Q194-Q231</f>
        <v>39282.569999999803</v>
      </c>
      <c r="R233" s="332"/>
      <c r="S233" s="335">
        <f>L233-Q233</f>
        <v>34218.200000000186</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30"/>
      <c r="H238" s="1226"/>
      <c r="I238" s="1227"/>
      <c r="J238" s="1230" t="s">
        <v>344</v>
      </c>
      <c r="K238" s="1226"/>
      <c r="L238" s="1227"/>
      <c r="M238" s="1230" t="s">
        <v>3310</v>
      </c>
      <c r="N238" s="1227"/>
      <c r="O238" s="1225" t="s">
        <v>345</v>
      </c>
      <c r="P238" s="1226"/>
      <c r="Q238" s="1227"/>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48000</v>
      </c>
      <c r="F241" s="291">
        <f>+INDEX('Budget original'!$A$2:$AO$501,MATCH($A241,'Budget original'!$A$2:$A$501,0),MATCH(F$2,'Budget original'!$A$2:$AO$2,0))</f>
        <v>10560</v>
      </c>
      <c r="G241" s="322"/>
      <c r="H241" s="291"/>
      <c r="I241" s="291"/>
      <c r="J241" s="277">
        <f>-SUMIFS(BV_Data_An_Cour!$O:$O,BV_Data_An_Cour!$U:$U,$B241,BV_Data_An_Cour!$V:$V,$C241,BV_Data_An_Cour!$W:$W,J$2)</f>
        <v>14</v>
      </c>
      <c r="K241" s="254">
        <f>-SUMIFS(BV_Data_An_Cour!$O:$O,BV_Data_An_Cour!$X:$X,"Oui",BV_Data_An_Cour!$U:$U,$B241,BV_Data_An_Cour!$V:$V,$C241)</f>
        <v>50617.07</v>
      </c>
      <c r="L241" s="256">
        <f>-SUMIFS(BV_Data_An_Cour!$O:$O,BV_Data_An_Cour!$U:$U,$B241,BV_Data_An_Cour!$V:$V,$C241,BV_Data_An_Cour!$W:$W,$L$2)</f>
        <v>9648.5899999999965</v>
      </c>
      <c r="M241" s="292">
        <f>IFERROR((K241-E241)/E241,0)</f>
        <v>5.452229166666666E-2</v>
      </c>
      <c r="N241" s="276">
        <f>L241-F241</f>
        <v>-911.41000000000349</v>
      </c>
      <c r="O241" s="277">
        <f t="array" ref="O241">+INDEX('Réel 2024'!$A$2:$AO$501,MATCH($A241,'Réel 2024'!$A$2:$A$501,0),MATCH(O$2,'Réel 2024'!$A$2:$AO$2,0))</f>
        <v>0</v>
      </c>
      <c r="P241" s="254">
        <f t="array" ref="P241">+INDEX('Réel 2024'!$A$2:$AO$501,MATCH($A241,'Réel 2024'!$A$2:$A$501,0),MATCH(P$2,'Réel 2024'!$A$2:$AO$2,0))</f>
        <v>866.04</v>
      </c>
      <c r="Q241" s="256">
        <f t="array" ref="Q241">+INDEX('Réel 2024'!$A$2:$AO$501,MATCH($A241,'Réel 2024'!$A$2:$A$501,0),MATCH(Q$2,'Réel 2024'!$A$2:$AO$2,0))</f>
        <v>866.04</v>
      </c>
      <c r="R241" s="292">
        <f>IF(O241=0,0,J241/O241)</f>
        <v>0</v>
      </c>
      <c r="S241" s="276">
        <f>L241-Q241</f>
        <v>8782.5499999999956</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0.22</v>
      </c>
      <c r="G242" s="253"/>
      <c r="H242" s="349"/>
      <c r="I242" s="362"/>
      <c r="J242" s="277"/>
      <c r="K242" s="41"/>
      <c r="L242" s="362">
        <f>IFERROR(L241/K241,0)</f>
        <v>0.19061929108105224</v>
      </c>
      <c r="M242" s="292"/>
      <c r="N242" s="276">
        <f>IFERROR(N241/M241,0)</f>
        <v>-16716.281948897114</v>
      </c>
      <c r="O242" s="277"/>
      <c r="P242" s="41"/>
      <c r="Q242" s="362">
        <f>IFERROR(Q241/P241,0)</f>
        <v>1</v>
      </c>
      <c r="R242" s="277"/>
      <c r="S242" s="276">
        <f>IFERROR(S241/R241,0)</f>
        <v>0</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2024'!$A$2:$AO$501,MATCH($A244,'Réel 2024'!$A$2:$A$501,0),MATCH(O$2,'Réel 2024'!$A$2:$AO$2,0))</f>
        <v>0</v>
      </c>
      <c r="P244" s="271">
        <f t="array" ref="P244">+INDEX('Réel 2024'!$A$2:$AO$501,MATCH($A244,'Réel 2024'!$A$2:$A$501,0),MATCH(P$2,'Réel 2024'!$A$2:$AO$2,0))</f>
        <v>0</v>
      </c>
      <c r="Q244" s="272">
        <f t="array" ref="Q244">+INDEX('Réel 2024'!$A$2:$AO$501,MATCH($A244,'Réel 2024'!$A$2:$A$501,0),MATCH(Q$2,'Réel 2024'!$A$2:$AO$2,0))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48000</v>
      </c>
      <c r="F250" s="281">
        <f>F244+F247+F241</f>
        <v>10560</v>
      </c>
      <c r="G250" s="282"/>
      <c r="H250" s="279"/>
      <c r="I250" s="281"/>
      <c r="J250" s="282"/>
      <c r="K250" s="279">
        <f t="shared" ref="K250:L250" si="48">K244+K247+K241</f>
        <v>50617.07</v>
      </c>
      <c r="L250" s="281">
        <f t="shared" si="48"/>
        <v>9648.5899999999965</v>
      </c>
      <c r="M250" s="399">
        <f>L251-F251</f>
        <v>-2.9380708918947757E-2</v>
      </c>
      <c r="N250" s="281">
        <f>L250-F250</f>
        <v>-911.41000000000349</v>
      </c>
      <c r="O250" s="282"/>
      <c r="P250" s="279">
        <f t="shared" ref="P250:Q250" si="49">P244+P247+P241</f>
        <v>866.04</v>
      </c>
      <c r="Q250" s="281">
        <f t="shared" si="49"/>
        <v>866.04</v>
      </c>
      <c r="R250" s="405">
        <f>L251-Q251</f>
        <v>-0.80938070891894776</v>
      </c>
      <c r="S250" s="281">
        <f>L250-Q250</f>
        <v>8782.5499999999956</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0.22</v>
      </c>
      <c r="G251" s="283"/>
      <c r="H251" s="284"/>
      <c r="I251" s="287"/>
      <c r="J251" s="283"/>
      <c r="K251" s="284"/>
      <c r="L251" s="287">
        <f>IF(K250=0,0,L250/K250)</f>
        <v>0.19061929108105224</v>
      </c>
      <c r="M251" s="286"/>
      <c r="N251" s="287">
        <f>N250/F250</f>
        <v>-8.6307765151515475E-2</v>
      </c>
      <c r="O251" s="283"/>
      <c r="P251" s="284"/>
      <c r="Q251" s="287">
        <f>Q250/P250</f>
        <v>1</v>
      </c>
      <c r="R251" s="286"/>
      <c r="S251" s="287">
        <f>S250/Q250</f>
        <v>10.141044293566113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2024'!$A$2:$AO$501,MATCH($A254,'Réel 2024'!$A$2:$A$501,0),MATCH(Q$2,'Réel 2024'!$A$2:$AO$2,0))</f>
        <v>901.88</v>
      </c>
      <c r="R254" s="253"/>
      <c r="S254" s="256">
        <f t="shared" ref="S254:S285" si="51">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4847.8046153846153</v>
      </c>
      <c r="G255" s="298"/>
      <c r="H255" s="41"/>
      <c r="I255" s="248"/>
      <c r="J255" s="253"/>
      <c r="K255" s="41"/>
      <c r="L255" s="256">
        <f>SUMIFS(BV_Data_An_Cour!$O:$O,BV_Data_An_Cour!$U:$U,$B255,BV_Data_An_Cour!$V:$V,$C255,BV_Data_An_Cour!$W:$W,$L$2)</f>
        <v>1523.66</v>
      </c>
      <c r="M255" s="253"/>
      <c r="N255" s="276">
        <f t="shared" si="50"/>
        <v>-3324.1446153846155</v>
      </c>
      <c r="O255" s="253"/>
      <c r="P255" s="41"/>
      <c r="Q255" s="256">
        <f t="array" ref="Q255">+INDEX('Réel 2024'!$A$2:$AO$501,MATCH($A255,'Réel 2024'!$A$2:$A$501,0),MATCH(Q$2,'Réel 2024'!$A$2:$AO$2,0))</f>
        <v>2105.37</v>
      </c>
      <c r="R255" s="253"/>
      <c r="S255" s="276">
        <f t="shared" si="51"/>
        <v>-581.70999999999981</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2024'!$A$2:$AO$501,MATCH($A256,'Réel 2024'!$A$2:$A$501,0),MATCH(Q$2,'Réel 2024'!$A$2:$AO$2,0))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2024'!$A$2:$AO$501,MATCH($A257,'Réel 2024'!$A$2:$A$501,0),MATCH(Q$2,'Réel 2024'!$A$2:$AO$2,0))</f>
        <v>0</v>
      </c>
      <c r="R257" s="253"/>
      <c r="S257" s="276">
        <f t="shared" si="51"/>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2024'!$A$2:$AO$501,MATCH($A258,'Réel 2024'!$A$2:$A$501,0),MATCH(Q$2,'Réel 2024'!$A$2:$AO$2,0))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2024'!$A$2:$AO$501,MATCH($A259,'Réel 2024'!$A$2:$A$501,0),MATCH(Q$2,'Réel 2024'!$A$2:$AO$2,0))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2024'!$A$2:$AO$501,MATCH($A260,'Réel 2024'!$A$2:$A$501,0),MATCH(Q$2,'Réel 2024'!$A$2:$AO$2,0))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619.8155113461537</v>
      </c>
      <c r="G261" s="298"/>
      <c r="H261" s="41"/>
      <c r="I261" s="248"/>
      <c r="J261" s="253"/>
      <c r="K261" s="41"/>
      <c r="L261" s="256">
        <f>SUMIFS(BV_Data_An_Cour!$O:$O,BV_Data_An_Cour!$U:$U,$B261,BV_Data_An_Cour!$V:$V,$C261,BV_Data_An_Cour!$W:$W,$L$2)</f>
        <v>810.54</v>
      </c>
      <c r="M261" s="253"/>
      <c r="N261" s="276">
        <f t="shared" si="50"/>
        <v>190.72448865384627</v>
      </c>
      <c r="O261" s="253"/>
      <c r="P261" s="41"/>
      <c r="Q261" s="256">
        <f t="array" ref="Q261">+INDEX('Réel 2024'!$A$2:$AO$501,MATCH($A261,'Réel 2024'!$A$2:$A$501,0),MATCH(Q$2,'Réel 2024'!$A$2:$AO$2,0))</f>
        <v>226.46</v>
      </c>
      <c r="R261" s="253"/>
      <c r="S261" s="276">
        <f t="shared" si="51"/>
        <v>584.07999999999993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753.60828692307689</v>
      </c>
      <c r="G262" s="316"/>
      <c r="H262" s="315"/>
      <c r="I262" s="254"/>
      <c r="J262" s="241"/>
      <c r="K262" s="315"/>
      <c r="L262" s="272">
        <f>SUMIFS(BV_Data_An_Cour!$O:$O,BV_Data_An_Cour!$U:$U,$B262,BV_Data_An_Cour!$V:$V,$C262,BV_Data_An_Cour!$W:$W,$L$2)</f>
        <v>1273.5999999999999</v>
      </c>
      <c r="M262" s="241"/>
      <c r="N262" s="317">
        <f t="shared" si="50"/>
        <v>519.99171307692302</v>
      </c>
      <c r="O262" s="241"/>
      <c r="P262" s="315"/>
      <c r="Q262" s="272">
        <f t="array" ref="Q262">+INDEX('Réel 2024'!$A$2:$AO$501,MATCH($A262,'Réel 2024'!$A$2:$A$501,0),MATCH(Q$2,'Réel 2024'!$A$2:$AO$2,0))</f>
        <v>1014.72</v>
      </c>
      <c r="R262" s="241"/>
      <c r="S262" s="317">
        <f t="shared" si="51"/>
        <v>258.87999999999988</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388.27209565384607</v>
      </c>
      <c r="G263" s="298"/>
      <c r="H263" s="41"/>
      <c r="I263" s="254"/>
      <c r="J263" s="253"/>
      <c r="K263" s="41"/>
      <c r="L263" s="256">
        <f>SUMIFS(BV_Data_An_Cour!$O:$O,BV_Data_An_Cour!$U:$U,$B263,BV_Data_An_Cour!$V:$V,$C263,BV_Data_An_Cour!$W:$W,$L$2)</f>
        <v>111.41</v>
      </c>
      <c r="M263" s="253"/>
      <c r="N263" s="276">
        <f t="shared" si="50"/>
        <v>-276.86209565384604</v>
      </c>
      <c r="O263" s="253"/>
      <c r="P263" s="41"/>
      <c r="Q263" s="256">
        <f t="array" ref="Q263">+INDEX('Réel 2024'!$A$2:$AO$501,MATCH($A263,'Réel 2024'!$A$2:$A$501,0),MATCH(Q$2,'Réel 2024'!$A$2:$AO$2,0))</f>
        <v>112.9</v>
      </c>
      <c r="R263" s="253"/>
      <c r="S263" s="276">
        <f t="shared" si="51"/>
        <v>-1.4900000000000091</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169.28881807692304</v>
      </c>
      <c r="G264" s="298"/>
      <c r="H264" s="41"/>
      <c r="I264" s="254"/>
      <c r="J264" s="253"/>
      <c r="K264" s="41"/>
      <c r="L264" s="256">
        <f>SUMIFS(BV_Data_An_Cour!$O:$O,BV_Data_An_Cour!$U:$U,$B264,BV_Data_An_Cour!$V:$V,$C264,BV_Data_An_Cour!$W:$W,$L$2)</f>
        <v>299.07</v>
      </c>
      <c r="M264" s="253"/>
      <c r="N264" s="276">
        <f t="shared" si="50"/>
        <v>129.78118192307696</v>
      </c>
      <c r="O264" s="253"/>
      <c r="P264" s="41"/>
      <c r="Q264" s="256">
        <f t="array" ref="Q264">+INDEX('Réel 2024'!$A$2:$AO$501,MATCH($A264,'Réel 2024'!$A$2:$A$501,0),MATCH(Q$2,'Réel 2024'!$A$2:$AO$2,0))</f>
        <v>83.33</v>
      </c>
      <c r="R264" s="253"/>
      <c r="S264" s="276">
        <f t="shared" si="51"/>
        <v>215.74</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2024'!$A$2:$AO$501,MATCH($A265,'Réel 2024'!$A$2:$A$501,0),MATCH(Q$2,'Réel 2024'!$A$2:$AO$2,0))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0.67174669475524462</v>
      </c>
      <c r="F266" s="307">
        <f>+SUM(F254:F265)</f>
        <v>7093.6450966153834</v>
      </c>
      <c r="G266" s="308"/>
      <c r="H266" s="306"/>
      <c r="I266" s="307"/>
      <c r="J266" s="308" t="s">
        <v>119</v>
      </c>
      <c r="K266" s="306">
        <f>IF(L250=0,0,L266/L$250)</f>
        <v>0.50994393999537768</v>
      </c>
      <c r="L266" s="307">
        <f>+SUM(L254:L265)</f>
        <v>4920.24</v>
      </c>
      <c r="M266" s="355"/>
      <c r="N266" s="320">
        <f t="shared" si="50"/>
        <v>-2173.4050966153836</v>
      </c>
      <c r="O266" s="308" t="s">
        <v>119</v>
      </c>
      <c r="P266" s="306">
        <f>IF(Q244=0,0,Q266/Q$244)</f>
        <v>0</v>
      </c>
      <c r="Q266" s="307">
        <f>+SUM(Q254:Q265)</f>
        <v>4444.74</v>
      </c>
      <c r="R266" s="355"/>
      <c r="S266" s="320">
        <f t="shared" si="51"/>
        <v>475.5</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48.333333333333336</v>
      </c>
      <c r="G267" s="298"/>
      <c r="H267" s="41"/>
      <c r="I267" s="254"/>
      <c r="J267" s="253"/>
      <c r="K267" s="41"/>
      <c r="L267" s="256">
        <f>SUMIFS(BV_Data_An_Cour!$O:$O,BV_Data_An_Cour!$U:$U,$B267,BV_Data_An_Cour!$V:$V,$C267,BV_Data_An_Cour!$W:$W,$L$2)</f>
        <v>89.88</v>
      </c>
      <c r="M267" s="253"/>
      <c r="N267" s="276">
        <f t="shared" si="50"/>
        <v>41.54666666666666</v>
      </c>
      <c r="O267" s="253"/>
      <c r="P267" s="41"/>
      <c r="Q267" s="276">
        <f t="array" ref="Q267">+INDEX('Réel 2024'!$A$2:$AO$501,MATCH($A267,'Réel 2024'!$A$2:$A$501,0),MATCH(Q$2,'Réel 2024'!$A$2:$AO$2,0))</f>
        <v>79.41</v>
      </c>
      <c r="R267" s="253"/>
      <c r="S267" s="276">
        <f t="shared" si="51"/>
        <v>10.469999999999999</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561.67798128057109</v>
      </c>
      <c r="G268" s="298"/>
      <c r="H268" s="41"/>
      <c r="I268" s="254"/>
      <c r="J268" s="253"/>
      <c r="K268" s="41"/>
      <c r="L268" s="256">
        <f>SUMIFS(BV_Data_An_Cour!$O:$O,BV_Data_An_Cour!$U:$U,$B268,BV_Data_An_Cour!$V:$V,$C268,BV_Data_An_Cour!$W:$W,$L$2)</f>
        <v>0</v>
      </c>
      <c r="M268" s="253"/>
      <c r="N268" s="276">
        <f t="shared" si="50"/>
        <v>-561.67798128057109</v>
      </c>
      <c r="O268" s="253"/>
      <c r="P268" s="41"/>
      <c r="Q268" s="276">
        <f t="array" ref="Q268">+INDEX('Réel 2024'!$A$2:$AO$501,MATCH($A268,'Réel 2024'!$A$2:$A$501,0),MATCH(Q$2,'Réel 2024'!$A$2:$AO$2,0))</f>
        <v>1150</v>
      </c>
      <c r="R268" s="253"/>
      <c r="S268" s="276">
        <f t="shared" si="51"/>
        <v>-1150</v>
      </c>
      <c r="T268" s="41"/>
      <c r="U268" s="1178"/>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124.50360000000001</v>
      </c>
      <c r="G269" s="300"/>
      <c r="H269" s="318"/>
      <c r="I269" s="248"/>
      <c r="J269" s="246"/>
      <c r="K269" s="318"/>
      <c r="L269" s="256">
        <f>SUMIFS(BV_Data_An_Cour!$O:$O,BV_Data_An_Cour!$U:$U,$B269,BV_Data_An_Cour!$V:$V,$C269,BV_Data_An_Cour!$W:$W,$L$2)</f>
        <v>157.77000000000001</v>
      </c>
      <c r="M269" s="246"/>
      <c r="N269" s="296">
        <f t="shared" si="50"/>
        <v>33.266400000000004</v>
      </c>
      <c r="O269" s="246"/>
      <c r="P269" s="318"/>
      <c r="Q269" s="296">
        <f t="array" ref="Q269">+INDEX('Réel 2024'!$A$2:$AO$501,MATCH($A269,'Réel 2024'!$A$2:$A$501,0),MATCH(Q$2,'Réel 2024'!$A$2:$AO$2,0))</f>
        <v>157.77000000000001</v>
      </c>
      <c r="R269" s="246"/>
      <c r="S269" s="296">
        <f t="shared" si="51"/>
        <v>0</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1450.4268862377776</v>
      </c>
      <c r="G270" s="298"/>
      <c r="H270" s="41"/>
      <c r="I270" s="254"/>
      <c r="J270" s="253"/>
      <c r="K270" s="41"/>
      <c r="L270" s="272">
        <f>SUMIFS(BV_Data_An_Cour!$O:$O,BV_Data_An_Cour!$U:$U,$B270,BV_Data_An_Cour!$V:$V,$C270,BV_Data_An_Cour!$W:$W,$L$2)</f>
        <v>1544.79</v>
      </c>
      <c r="M270" s="253"/>
      <c r="N270" s="276">
        <f t="shared" si="50"/>
        <v>94.363113762222383</v>
      </c>
      <c r="O270" s="253"/>
      <c r="P270" s="41"/>
      <c r="Q270" s="276">
        <f t="array" ref="Q270">+INDEX('Réel 2024'!$A$2:$AO$501,MATCH($A270,'Réel 2024'!$A$2:$A$501,0),MATCH(Q$2,'Réel 2024'!$A$2:$AO$2,0))</f>
        <v>118.65</v>
      </c>
      <c r="R270" s="253"/>
      <c r="S270" s="276">
        <f t="shared" si="51"/>
        <v>1426.1399999999999</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214.03823837858201</v>
      </c>
      <c r="G271" s="298"/>
      <c r="H271" s="41"/>
      <c r="I271" s="254"/>
      <c r="J271" s="253"/>
      <c r="K271" s="41"/>
      <c r="L271" s="256">
        <f>SUMIFS(BV_Data_An_Cour!$O:$O,BV_Data_An_Cour!$U:$U,$B271,BV_Data_An_Cour!$V:$V,$C271,BV_Data_An_Cour!$W:$W,$L$2)</f>
        <v>179.64</v>
      </c>
      <c r="M271" s="253"/>
      <c r="N271" s="276">
        <f t="shared" si="50"/>
        <v>-34.398238378582022</v>
      </c>
      <c r="O271" s="253"/>
      <c r="P271" s="41"/>
      <c r="Q271" s="276">
        <f t="array" ref="Q271">+INDEX('Réel 2024'!$A$2:$AO$501,MATCH($A271,'Réel 2024'!$A$2:$A$501,0),MATCH(Q$2,'Réel 2024'!$A$2:$AO$2,0))</f>
        <v>280.61</v>
      </c>
      <c r="R271" s="253"/>
      <c r="S271" s="276">
        <f t="shared" si="51"/>
        <v>-100.97000000000003</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687.14674435248071</v>
      </c>
      <c r="G272" s="300"/>
      <c r="H272" s="318"/>
      <c r="I272" s="248"/>
      <c r="J272" s="246"/>
      <c r="K272" s="318"/>
      <c r="L272" s="256">
        <f>SUMIFS(BV_Data_An_Cour!$O:$O,BV_Data_An_Cour!$U:$U,$B272,BV_Data_An_Cour!$V:$V,$C272,BV_Data_An_Cour!$W:$W,$L$2)</f>
        <v>987.01</v>
      </c>
      <c r="M272" s="246"/>
      <c r="N272" s="296">
        <f t="shared" si="50"/>
        <v>299.86325564751928</v>
      </c>
      <c r="O272" s="246"/>
      <c r="P272" s="318"/>
      <c r="Q272" s="296">
        <f t="array" ref="Q272">+INDEX('Réel 2024'!$A$2:$AO$501,MATCH($A272,'Réel 2024'!$A$2:$A$501,0),MATCH(Q$2,'Réel 2024'!$A$2:$AO$2,0))</f>
        <v>824.74</v>
      </c>
      <c r="R272" s="246"/>
      <c r="S272" s="296">
        <f t="shared" si="51"/>
        <v>162.26999999999998</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2024'!$A$2:$AO$501,MATCH($A273,'Réel 2024'!$A$2:$A$501,0),MATCH(Q$2,'Réel 2024'!$A$2:$AO$2,0))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45.951533333333337</v>
      </c>
      <c r="G274" s="298"/>
      <c r="H274" s="41"/>
      <c r="I274" s="254"/>
      <c r="J274" s="253"/>
      <c r="K274" s="41"/>
      <c r="L274" s="256">
        <f>SUMIFS(BV_Data_An_Cour!$O:$O,BV_Data_An_Cour!$U:$U,$B274,BV_Data_An_Cour!$V:$V,$C274,BV_Data_An_Cour!$W:$W,$L$2)</f>
        <v>0</v>
      </c>
      <c r="M274" s="253"/>
      <c r="N274" s="276">
        <f t="shared" si="50"/>
        <v>-45.951533333333337</v>
      </c>
      <c r="O274" s="253"/>
      <c r="P274" s="41"/>
      <c r="Q274" s="276">
        <f t="array" ref="Q274">+INDEX('Réel 2024'!$A$2:$AO$501,MATCH($A274,'Réel 2024'!$A$2:$A$501,0),MATCH(Q$2,'Réel 2024'!$A$2:$AO$2,0))</f>
        <v>2.8</v>
      </c>
      <c r="R274" s="253"/>
      <c r="S274" s="276">
        <f t="shared" si="51"/>
        <v>-2.8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28.333333333333332</v>
      </c>
      <c r="G275" s="298"/>
      <c r="H275" s="41"/>
      <c r="I275" s="254"/>
      <c r="J275" s="253"/>
      <c r="K275" s="41"/>
      <c r="L275" s="256">
        <f>SUMIFS(BV_Data_An_Cour!$O:$O,BV_Data_An_Cour!$U:$U,$B275,BV_Data_An_Cour!$V:$V,$C275,BV_Data_An_Cour!$W:$W,$L$2)</f>
        <v>0</v>
      </c>
      <c r="M275" s="253"/>
      <c r="N275" s="276">
        <f t="shared" si="50"/>
        <v>-28.333333333333332</v>
      </c>
      <c r="O275" s="253"/>
      <c r="P275" s="41"/>
      <c r="Q275" s="276">
        <f t="array" ref="Q275">+INDEX('Réel 2024'!$A$2:$AO$501,MATCH($A275,'Réel 2024'!$A$2:$A$501,0),MATCH(Q$2,'Réel 2024'!$A$2:$AO$2,0))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146.23689705261995</v>
      </c>
      <c r="G276" s="298"/>
      <c r="H276" s="41"/>
      <c r="I276" s="254"/>
      <c r="J276" s="253"/>
      <c r="K276" s="41"/>
      <c r="L276" s="256">
        <f>SUMIFS(BV_Data_An_Cour!$O:$O,BV_Data_An_Cour!$U:$U,$B276,BV_Data_An_Cour!$V:$V,$C276,BV_Data_An_Cour!$W:$W,$L$2)</f>
        <v>47.8</v>
      </c>
      <c r="M276" s="253"/>
      <c r="N276" s="276">
        <f t="shared" si="50"/>
        <v>-98.436897052619955</v>
      </c>
      <c r="O276" s="253"/>
      <c r="P276" s="41"/>
      <c r="Q276" s="276">
        <f t="array" ref="Q276">+INDEX('Réel 2024'!$A$2:$AO$501,MATCH($A276,'Réel 2024'!$A$2:$A$501,0),MATCH(Q$2,'Réel 2024'!$A$2:$AO$2,0))</f>
        <v>77.989999999999995</v>
      </c>
      <c r="R276" s="253"/>
      <c r="S276" s="276">
        <f t="shared" si="51"/>
        <v>-30.189999999999998</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32.368975325808613</v>
      </c>
      <c r="G277" s="298"/>
      <c r="H277" s="41"/>
      <c r="I277" s="254"/>
      <c r="J277" s="253"/>
      <c r="K277" s="41"/>
      <c r="L277" s="256">
        <f>SUMIFS(BV_Data_An_Cour!$O:$O,BV_Data_An_Cour!$U:$U,$B277,BV_Data_An_Cour!$V:$V,$C277,BV_Data_An_Cour!$W:$W,$L$2)</f>
        <v>17.43</v>
      </c>
      <c r="M277" s="253"/>
      <c r="N277" s="276">
        <f t="shared" si="50"/>
        <v>-14.938975325808613</v>
      </c>
      <c r="O277" s="253"/>
      <c r="P277" s="41"/>
      <c r="Q277" s="276">
        <f t="array" ref="Q277">+INDEX('Réel 2024'!$A$2:$AO$501,MATCH($A277,'Réel 2024'!$A$2:$A$501,0),MATCH(Q$2,'Réel 2024'!$A$2:$AO$2,0))</f>
        <v>26.3</v>
      </c>
      <c r="R277" s="253"/>
      <c r="S277" s="276">
        <f t="shared" si="51"/>
        <v>-8.870000000000001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22.492098830591392</v>
      </c>
      <c r="G278" s="298"/>
      <c r="H278" s="41"/>
      <c r="I278" s="254"/>
      <c r="J278" s="253"/>
      <c r="K278" s="41"/>
      <c r="L278" s="256">
        <f>SUMIFS(BV_Data_An_Cour!$O:$O,BV_Data_An_Cour!$U:$U,$B278,BV_Data_An_Cour!$V:$V,$C278,BV_Data_An_Cour!$W:$W,$L$2)</f>
        <v>11.94</v>
      </c>
      <c r="M278" s="253"/>
      <c r="N278" s="276">
        <f t="shared" si="50"/>
        <v>-10.552098830591392</v>
      </c>
      <c r="O278" s="253"/>
      <c r="P278" s="41"/>
      <c r="Q278" s="276">
        <f t="array" ref="Q278">+INDEX('Réel 2024'!$A$2:$AO$501,MATCH($A278,'Réel 2024'!$A$2:$A$501,0),MATCH(Q$2,'Réel 2024'!$A$2:$AO$2,0))</f>
        <v>7.21</v>
      </c>
      <c r="R278" s="253"/>
      <c r="S278" s="276">
        <f t="shared" si="51"/>
        <v>4.7299999999999995</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102.90506750548639</v>
      </c>
      <c r="G279" s="298"/>
      <c r="H279" s="41"/>
      <c r="I279" s="254"/>
      <c r="J279" s="253"/>
      <c r="K279" s="41"/>
      <c r="L279" s="256">
        <f>SUMIFS(BV_Data_An_Cour!$O:$O,BV_Data_An_Cour!$U:$U,$B279,BV_Data_An_Cour!$V:$V,$C279,BV_Data_An_Cour!$W:$W,$L$2)</f>
        <v>13.72</v>
      </c>
      <c r="M279" s="253"/>
      <c r="N279" s="276">
        <f t="shared" si="50"/>
        <v>-89.185067505486387</v>
      </c>
      <c r="O279" s="253"/>
      <c r="P279" s="41"/>
      <c r="Q279" s="276">
        <f t="array" ref="Q279">+INDEX('Réel 2024'!$A$2:$AO$501,MATCH($A279,'Réel 2024'!$A$2:$A$501,0),MATCH(Q$2,'Réel 2024'!$A$2:$AO$2,0))</f>
        <v>41.24</v>
      </c>
      <c r="R279" s="253"/>
      <c r="S279" s="276">
        <f t="shared" si="51"/>
        <v>-27.520000000000003</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175.49870178698256</v>
      </c>
      <c r="G280" s="298"/>
      <c r="H280" s="41"/>
      <c r="I280" s="254"/>
      <c r="J280" s="253"/>
      <c r="K280" s="41"/>
      <c r="L280" s="256">
        <f>SUMIFS(BV_Data_An_Cour!$O:$O,BV_Data_An_Cour!$U:$U,$B280,BV_Data_An_Cour!$V:$V,$C280,BV_Data_An_Cour!$W:$W,$L$2)</f>
        <v>131.96</v>
      </c>
      <c r="M280" s="253"/>
      <c r="N280" s="276">
        <f t="shared" si="50"/>
        <v>-43.538701786982557</v>
      </c>
      <c r="O280" s="253"/>
      <c r="P280" s="41"/>
      <c r="Q280" s="276">
        <f t="array" ref="Q280">+INDEX('Réel 2024'!$A$2:$AO$501,MATCH($A280,'Réel 2024'!$A$2:$A$501,0),MATCH(Q$2,'Réel 2024'!$A$2:$AO$2,0))</f>
        <v>22.33</v>
      </c>
      <c r="R280" s="253"/>
      <c r="S280" s="276">
        <f t="shared" si="51"/>
        <v>109.63000000000001</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206.67914215411085</v>
      </c>
      <c r="G281" s="298"/>
      <c r="H281" s="41"/>
      <c r="I281" s="254"/>
      <c r="J281" s="253"/>
      <c r="K281" s="41"/>
      <c r="L281" s="256">
        <f>SUMIFS(BV_Data_An_Cour!$O:$O,BV_Data_An_Cour!$U:$U,$B281,BV_Data_An_Cour!$V:$V,$C281,BV_Data_An_Cour!$W:$W,$L$2)</f>
        <v>216.81</v>
      </c>
      <c r="M281" s="253"/>
      <c r="N281" s="276">
        <f t="shared" si="50"/>
        <v>10.130857845889153</v>
      </c>
      <c r="O281" s="253"/>
      <c r="P281" s="41"/>
      <c r="Q281" s="276">
        <f t="array" ref="Q281">+INDEX('Réel 2024'!$A$2:$AO$501,MATCH($A281,'Réel 2024'!$A$2:$A$501,0),MATCH(Q$2,'Réel 2024'!$A$2:$AO$2,0))</f>
        <v>206.61</v>
      </c>
      <c r="R281" s="253"/>
      <c r="S281" s="276">
        <f t="shared" si="51"/>
        <v>10.199999999999989</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2024'!$A$2:$AO$501,MATCH($A282,'Réel 2024'!$A$2:$A$501,0),MATCH(Q$2,'Réel 2024'!$A$2:$AO$2,0))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2024'!$A$2:$AO$501,MATCH($A283,'Réel 2024'!$A$2:$A$501,0),MATCH(Q$2,'Réel 2024'!$A$2:$AO$2,0))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2024'!$A$2:$AO$501,MATCH($A284,'Réel 2024'!$A$2:$A$501,0),MATCH(Q$2,'Réel 2024'!$A$2:$AO$2,0))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3846.592532905011</v>
      </c>
      <c r="G285" s="308"/>
      <c r="H285" s="306"/>
      <c r="I285" s="307"/>
      <c r="J285" s="308" t="s">
        <v>119</v>
      </c>
      <c r="K285" s="306">
        <f>L285/L$250</f>
        <v>0.35225354170920326</v>
      </c>
      <c r="L285" s="307">
        <f>+SUM(L267:L284)</f>
        <v>3398.75</v>
      </c>
      <c r="M285" s="311"/>
      <c r="N285" s="307">
        <f>+SUM(N267:N284)</f>
        <v>-447.84253290501124</v>
      </c>
      <c r="O285" s="308" t="s">
        <v>119</v>
      </c>
      <c r="P285" s="306">
        <f>IF(Q$244=0,0,Q285/Q$244)</f>
        <v>0</v>
      </c>
      <c r="Q285" s="307">
        <f>+SUM(Q267:Q284)</f>
        <v>2995.6600000000003</v>
      </c>
      <c r="R285" s="311"/>
      <c r="S285" s="307">
        <f t="shared" si="51"/>
        <v>403.08999999999969</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10940.237629520394</v>
      </c>
      <c r="G287" s="308"/>
      <c r="H287" s="306"/>
      <c r="I287" s="307"/>
      <c r="J287" s="308" t="s">
        <v>119</v>
      </c>
      <c r="K287" s="306">
        <f>L287/L$250</f>
        <v>0.86219748170458099</v>
      </c>
      <c r="L287" s="307">
        <f>L266+L285</f>
        <v>8318.99</v>
      </c>
      <c r="M287" s="311"/>
      <c r="N287" s="320">
        <f>L287-F287</f>
        <v>-2621.2476295203942</v>
      </c>
      <c r="O287" s="308" t="s">
        <v>119</v>
      </c>
      <c r="P287" s="306">
        <f>IF(Q$244=0,0,Q287/Q$244)</f>
        <v>0</v>
      </c>
      <c r="Q287" s="307">
        <f>Q266+Q285</f>
        <v>7440.4</v>
      </c>
      <c r="R287" s="311"/>
      <c r="S287" s="320">
        <f>L287-Q287</f>
        <v>878.59000000000015</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-380.23762952039397</v>
      </c>
      <c r="G289" s="361"/>
      <c r="H289" s="333"/>
      <c r="I289" s="335"/>
      <c r="J289" s="332"/>
      <c r="K289" s="334"/>
      <c r="L289" s="335">
        <f>L250-L287</f>
        <v>1329.5999999999967</v>
      </c>
      <c r="M289" s="332"/>
      <c r="N289" s="335">
        <f>L289-F289</f>
        <v>1709.8376295203907</v>
      </c>
      <c r="O289" s="332"/>
      <c r="P289" s="1147">
        <f>+Q289/P250</f>
        <v>-7.5912890859544593</v>
      </c>
      <c r="Q289" s="335">
        <f>Q250-Q287</f>
        <v>-6574.36</v>
      </c>
      <c r="R289" s="332"/>
      <c r="S289" s="335">
        <f>L289-Q289</f>
        <v>7903.9599999999964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30"/>
      <c r="H293" s="1226"/>
      <c r="I293" s="1227"/>
      <c r="J293" s="1230" t="s">
        <v>344</v>
      </c>
      <c r="K293" s="1226"/>
      <c r="L293" s="1227"/>
      <c r="M293" s="1230" t="s">
        <v>3310</v>
      </c>
      <c r="N293" s="1227"/>
      <c r="O293" s="1225" t="s">
        <v>345</v>
      </c>
      <c r="P293" s="1226"/>
      <c r="Q293" s="1227"/>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81099.13784000001</v>
      </c>
      <c r="E295" s="353">
        <f>IF(D295=0,0,F295/D295)</f>
        <v>0.35699999999999998</v>
      </c>
      <c r="F295" s="276">
        <f>+INDEX('Budget original'!$A$2:$AO$501,MATCH($A295,'Budget original'!$A$2:$A$501,0),MATCH(F$2,'Budget original'!$A$2:$AO$2,0))</f>
        <v>28952.392208880003</v>
      </c>
      <c r="G295" s="291"/>
      <c r="H295" s="353"/>
      <c r="I295" s="276"/>
      <c r="J295" s="254">
        <f>-SUMIFS(BV_Data_An_Cour!$O:$O,BV_Data_An_Cour!$X:$X,"Oui",BV_Data_An_Cour!$U:$U,$B295,BV_Data_An_Cour!$V:$V,$C295)</f>
        <v>87058.76</v>
      </c>
      <c r="K295" s="353">
        <f t="shared" ref="K295:K304" si="52">IF(J295&lt;=0,0,L295/J295)</f>
        <v>0.34657282047205812</v>
      </c>
      <c r="L295" s="276">
        <f>-SUMIFS(BV_Data_An_Cour!$O:$O,BV_Data_An_Cour!$U:$U,$B295,BV_Data_An_Cour!$V:$V,$C295,BV_Data_An_Cour!$W:$W,$L$2)</f>
        <v>30172.199999999993</v>
      </c>
      <c r="M295" s="292">
        <f t="shared" ref="M295:M301" si="53">(+J295-D295)/D295</f>
        <v>7.3485641385703585E-2</v>
      </c>
      <c r="N295" s="276">
        <f t="shared" ref="N295:N304" si="54">L295-F295</f>
        <v>1219.8077911199907</v>
      </c>
      <c r="O295" s="254">
        <f t="array" ref="O295">+INDEX('Réel 2024'!$A$2:$AO$501,MATCH($A295,'Réel 2024'!$A$2:$A$501,0),MATCH(O$2,'Réel 2024'!$A$2:$AO$2,0))</f>
        <v>97246.46</v>
      </c>
      <c r="P295" s="353">
        <f t="shared" ref="P295:P303" si="55">IF(O295=0,0,Q295/O295)</f>
        <v>0.35566508025073607</v>
      </c>
      <c r="Q295" s="276">
        <f t="array" ref="Q295">+INDEX('Réel 2024'!$A$2:$AO$501,MATCH($A295,'Réel 2024'!$A$2:$A$501,0),MATCH(Q$2,'Réel 2024'!$A$2:$AO$2,0))</f>
        <v>34587.17</v>
      </c>
      <c r="R295" s="292">
        <f t="shared" ref="R295:R304" si="56">IF(O295=0,0,(J295-O295)/O295)</f>
        <v>-0.10476165404889815</v>
      </c>
      <c r="S295" s="276">
        <f t="shared" ref="S295:S304" si="57">L295-Q295</f>
        <v>-4414.9700000000048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28800</v>
      </c>
      <c r="E296" s="353">
        <f t="shared" ref="E296:E303" si="58">IF(D296=0,0,F296/D296)</f>
        <v>0.248</v>
      </c>
      <c r="F296" s="276">
        <f>+INDEX('Budget original'!$A$2:$AO$501,MATCH($A296,'Budget original'!$A$2:$A$501,0),MATCH(F$2,'Budget original'!$A$2:$AO$2,0))</f>
        <v>7142.4</v>
      </c>
      <c r="G296" s="291"/>
      <c r="H296" s="353"/>
      <c r="I296" s="276"/>
      <c r="J296" s="254">
        <f>-SUMIFS(BV_Data_An_Cour!$O:$O,BV_Data_An_Cour!$X:$X,"Oui",BV_Data_An_Cour!$U:$U,$B296,BV_Data_An_Cour!$V:$V,$C296)</f>
        <v>18886.29</v>
      </c>
      <c r="K296" s="353">
        <f t="shared" si="52"/>
        <v>0.23393848130045664</v>
      </c>
      <c r="L296" s="276">
        <f>-SUMIFS(BV_Data_An_Cour!$O:$O,BV_Data_An_Cour!$U:$U,$B296,BV_Data_An_Cour!$V:$V,$C296,BV_Data_An_Cour!$W:$W,$L$2)</f>
        <v>4418.2300000000014</v>
      </c>
      <c r="M296" s="292">
        <f t="shared" si="53"/>
        <v>-0.34422604166666665</v>
      </c>
      <c r="N296" s="276">
        <f t="shared" si="54"/>
        <v>-2724.1699999999983</v>
      </c>
      <c r="O296" s="254">
        <f t="array" ref="O296">+INDEX('Réel 2024'!$A$2:$AO$501,MATCH($A296,'Réel 2024'!$A$2:$A$501,0),MATCH(O$2,'Réel 2024'!$A$2:$AO$2,0))</f>
        <v>0</v>
      </c>
      <c r="P296" s="353">
        <f t="shared" si="55"/>
        <v>0</v>
      </c>
      <c r="Q296" s="276">
        <f t="array" ref="Q296">+INDEX('Réel 2024'!$A$2:$AO$501,MATCH($A296,'Réel 2024'!$A$2:$A$501,0),MATCH(Q$2,'Réel 2024'!$A$2:$AO$2,0))</f>
        <v>0</v>
      </c>
      <c r="R296" s="292">
        <f t="shared" si="56"/>
        <v>0</v>
      </c>
      <c r="S296" s="276">
        <f t="shared" si="57"/>
        <v>4418.2300000000014</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60847.342499999999</v>
      </c>
      <c r="E297" s="353">
        <f t="shared" si="58"/>
        <v>0.23700000000000002</v>
      </c>
      <c r="F297" s="276">
        <f>+INDEX('Budget original'!$A$2:$AO$501,MATCH($A297,'Budget original'!$A$2:$A$501,0),MATCH(F$2,'Budget original'!$A$2:$AO$2,0))</f>
        <v>14420.8201725</v>
      </c>
      <c r="G297" s="291"/>
      <c r="H297" s="353"/>
      <c r="I297" s="276"/>
      <c r="J297" s="254">
        <f>-SUMIFS(BV_Data_An_Cour!$O:$O,BV_Data_An_Cour!$X:$X,"Oui",BV_Data_An_Cour!$U:$U,$B297,BV_Data_An_Cour!$V:$V,$C297)</f>
        <v>95506.71</v>
      </c>
      <c r="K297" s="353">
        <f t="shared" si="52"/>
        <v>0.23560993777295858</v>
      </c>
      <c r="L297" s="276">
        <f>-SUMIFS(BV_Data_An_Cour!$O:$O,BV_Data_An_Cour!$U:$U,$B297,BV_Data_An_Cour!$V:$V,$C297,BV_Data_An_Cour!$W:$W,$L$2)</f>
        <v>22502.33</v>
      </c>
      <c r="M297" s="292">
        <f t="shared" si="53"/>
        <v>0.56961185281017013</v>
      </c>
      <c r="N297" s="276">
        <f t="shared" si="54"/>
        <v>8081.5098275000018</v>
      </c>
      <c r="O297" s="254">
        <f t="array" ref="O297">+INDEX('Réel 2024'!$A$2:$AO$501,MATCH($A297,'Réel 2024'!$A$2:$A$501,0),MATCH(O$2,'Réel 2024'!$A$2:$AO$2,0))</f>
        <v>63908.639999999999</v>
      </c>
      <c r="P297" s="353">
        <f t="shared" si="55"/>
        <v>0.23059511202241043</v>
      </c>
      <c r="Q297" s="276">
        <f t="array" ref="Q297">+INDEX('Réel 2024'!$A$2:$AO$501,MATCH($A297,'Réel 2024'!$A$2:$A$501,0),MATCH(Q$2,'Réel 2024'!$A$2:$AO$2,0))</f>
        <v>14737.0199999999</v>
      </c>
      <c r="R297" s="292">
        <f t="shared" si="56"/>
        <v>0.49442563634588388</v>
      </c>
      <c r="S297" s="276">
        <f t="shared" si="57"/>
        <v>7765.3100000001014</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65349.206999999995</v>
      </c>
      <c r="E298" s="353">
        <f t="shared" si="58"/>
        <v>0.29399999999999998</v>
      </c>
      <c r="F298" s="276">
        <f>+INDEX('Budget original'!$A$2:$AO$501,MATCH($A298,'Budget original'!$A$2:$A$501,0),MATCH(F$2,'Budget original'!$A$2:$AO$2,0))</f>
        <v>19212.666857999997</v>
      </c>
      <c r="G298" s="291"/>
      <c r="H298" s="353"/>
      <c r="I298" s="276"/>
      <c r="J298" s="254">
        <f>-SUMIFS(BV_Data_An_Cour!$O:$O,BV_Data_An_Cour!$X:$X,"Oui",BV_Data_An_Cour!$U:$U,$B298,BV_Data_An_Cour!$V:$V,$C298)</f>
        <v>73676.91</v>
      </c>
      <c r="K298" s="353">
        <f t="shared" si="52"/>
        <v>0.28959995743578282</v>
      </c>
      <c r="L298" s="276">
        <f>-SUMIFS(BV_Data_An_Cour!$O:$O,BV_Data_An_Cour!$U:$U,$B298,BV_Data_An_Cour!$V:$V,$C298,BV_Data_An_Cour!$W:$W,$L$2)</f>
        <v>21336.83</v>
      </c>
      <c r="M298" s="292">
        <f t="shared" si="53"/>
        <v>0.12743387995511574</v>
      </c>
      <c r="N298" s="276">
        <f t="shared" si="54"/>
        <v>2124.1631420000049</v>
      </c>
      <c r="O298" s="254">
        <f t="array" ref="O298">+INDEX('Réel 2024'!$A$2:$AO$501,MATCH($A298,'Réel 2024'!$A$2:$A$501,0),MATCH(O$2,'Réel 2024'!$A$2:$AO$2,0))</f>
        <v>60027.4</v>
      </c>
      <c r="P298" s="353">
        <f t="shared" si="55"/>
        <v>0.31739355694232968</v>
      </c>
      <c r="Q298" s="276">
        <f t="array" ref="Q298">+INDEX('Réel 2024'!$A$2:$AO$501,MATCH($A298,'Réel 2024'!$A$2:$A$501,0),MATCH(Q$2,'Réel 2024'!$A$2:$AO$2,0))</f>
        <v>19052.310000000001</v>
      </c>
      <c r="R298" s="292">
        <f t="shared" si="56"/>
        <v>0.22738799281661379</v>
      </c>
      <c r="S298" s="276">
        <f t="shared" si="57"/>
        <v>2284.5200000000004</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17909.036</v>
      </c>
      <c r="E299" s="353">
        <f t="shared" si="58"/>
        <v>0.27700000000000002</v>
      </c>
      <c r="F299" s="276">
        <f>+INDEX('Budget original'!$A$2:$AO$501,MATCH($A299,'Budget original'!$A$2:$A$501,0),MATCH(F$2,'Budget original'!$A$2:$AO$2,0))</f>
        <v>4960.8029720000004</v>
      </c>
      <c r="G299" s="291"/>
      <c r="H299" s="353"/>
      <c r="I299" s="276"/>
      <c r="J299" s="254">
        <f>-SUMIFS(BV_Data_An_Cour!$O:$O,BV_Data_An_Cour!$X:$X,"Oui",BV_Data_An_Cour!$U:$U,$B299,BV_Data_An_Cour!$V:$V,$C299)</f>
        <v>15743.02</v>
      </c>
      <c r="K299" s="353">
        <f t="shared" si="52"/>
        <v>0.29404713962124168</v>
      </c>
      <c r="L299" s="276">
        <f>-SUMIFS(BV_Data_An_Cour!$O:$O,BV_Data_An_Cour!$U:$U,$B299,BV_Data_An_Cour!$V:$V,$C299,BV_Data_An_Cour!$W:$W,$L$2)</f>
        <v>4629.1900000000005</v>
      </c>
      <c r="M299" s="292">
        <f t="shared" si="53"/>
        <v>-0.12094542665501368</v>
      </c>
      <c r="N299" s="276">
        <f t="shared" si="54"/>
        <v>-331.6129719999999</v>
      </c>
      <c r="O299" s="254">
        <f t="array" ref="O299">+INDEX('Réel 2024'!$A$2:$AO$501,MATCH($A299,'Réel 2024'!$A$2:$A$501,0),MATCH(O$2,'Réel 2024'!$A$2:$AO$2,0))</f>
        <v>16945.259999999998</v>
      </c>
      <c r="P299" s="353">
        <f t="shared" si="55"/>
        <v>0.2982108270985509</v>
      </c>
      <c r="Q299" s="276">
        <f t="array" ref="Q299">+INDEX('Réel 2024'!$A$2:$AO$501,MATCH($A299,'Réel 2024'!$A$2:$A$501,0),MATCH(Q$2,'Réel 2024'!$A$2:$AO$2,0))</f>
        <v>5053.2599999999902</v>
      </c>
      <c r="R299" s="292">
        <f t="shared" si="56"/>
        <v>-7.0948454021950574E-2</v>
      </c>
      <c r="S299" s="276">
        <f t="shared" si="57"/>
        <v>-424.0699999999897</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153843.459</v>
      </c>
      <c r="E300" s="353">
        <f t="shared" si="58"/>
        <v>0.13500000000000001</v>
      </c>
      <c r="F300" s="276">
        <f>+INDEX('Budget original'!$A$2:$AO$501,MATCH($A300,'Budget original'!$A$2:$A$501,0),MATCH(F$2,'Budget original'!$A$2:$AO$2,0))</f>
        <v>20768.866965000001</v>
      </c>
      <c r="G300" s="291"/>
      <c r="H300" s="353"/>
      <c r="I300" s="276"/>
      <c r="J300" s="254">
        <f>-SUMIFS(BV_Data_An_Cour!$O:$O,BV_Data_An_Cour!$X:$X,"Oui",BV_Data_An_Cour!$U:$U,$B300,BV_Data_An_Cour!$V:$V,$C300)</f>
        <v>186492.61</v>
      </c>
      <c r="K300" s="353">
        <f t="shared" si="52"/>
        <v>0.13094845956630663</v>
      </c>
      <c r="L300" s="276">
        <f>-SUMIFS(BV_Data_An_Cour!$O:$O,BV_Data_An_Cour!$U:$U,$B300,BV_Data_An_Cour!$V:$V,$C300,BV_Data_An_Cour!$W:$W,$L$2)</f>
        <v>24420.919999999991</v>
      </c>
      <c r="M300" s="292">
        <f t="shared" si="53"/>
        <v>0.21222319890766356</v>
      </c>
      <c r="N300" s="276">
        <f t="shared" si="54"/>
        <v>3652.0530349999899</v>
      </c>
      <c r="O300" s="254">
        <f t="array" ref="O300">+INDEX('Réel 2024'!$A$2:$AO$501,MATCH($A300,'Réel 2024'!$A$2:$A$501,0),MATCH(O$2,'Réel 2024'!$A$2:$AO$2,0))</f>
        <v>143365.44</v>
      </c>
      <c r="P300" s="353">
        <f t="shared" si="55"/>
        <v>0.13637603316392011</v>
      </c>
      <c r="Q300" s="276">
        <f t="array" ref="Q300">+INDEX('Réel 2024'!$A$2:$AO$501,MATCH($A300,'Réel 2024'!$A$2:$A$501,0),MATCH(Q$2,'Réel 2024'!$A$2:$AO$2,0))</f>
        <v>19551.61</v>
      </c>
      <c r="R300" s="292">
        <f t="shared" si="56"/>
        <v>0.30081984891198316</v>
      </c>
      <c r="S300" s="276">
        <f t="shared" si="57"/>
        <v>4869.3099999999904</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2024'!$A$2:$AO$501,MATCH($A301,'Réel 2024'!$A$2:$A$501,0),MATCH(O$2,'Réel 2024'!$A$2:$AO$2,0))</f>
        <v>0</v>
      </c>
      <c r="P301" s="353">
        <f t="shared" si="55"/>
        <v>0</v>
      </c>
      <c r="Q301" s="276">
        <f t="array" ref="Q301">+INDEX('Réel 2024'!$A$2:$AO$501,MATCH($A301,'Réel 2024'!$A$2:$A$501,0),MATCH(Q$2,'Réel 2024'!$A$2:$AO$2,0))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10456.478287315782</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4672.6899999999996</v>
      </c>
      <c r="M302" s="292"/>
      <c r="N302" s="276">
        <f t="shared" si="54"/>
        <v>-5783.7882873157823</v>
      </c>
      <c r="O302" s="254">
        <f t="array" ref="O302">+INDEX('Réel 2024'!$A$2:$AO$501,MATCH($A302,'Réel 2024'!$A$2:$A$501,0),MATCH(O$2,'Réel 2024'!$A$2:$AO$2,0))</f>
        <v>0</v>
      </c>
      <c r="P302" s="353">
        <f t="shared" si="55"/>
        <v>0</v>
      </c>
      <c r="Q302" s="276">
        <f t="array" ref="Q302">+INDEX('Réel 2024'!$A$2:$AO$501,MATCH($A302,'Réel 2024'!$A$2:$A$501,0),MATCH(Q$2,'Réel 2024'!$A$2:$AO$2,0))</f>
        <v>3691.28</v>
      </c>
      <c r="R302" s="292">
        <f t="shared" si="56"/>
        <v>0</v>
      </c>
      <c r="S302" s="276">
        <f t="shared" si="57"/>
        <v>981.4099999999994</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2024'!$A$2:$AO$501,MATCH($A303,'Réel 2024'!$A$2:$A$501,0),MATCH(O$2,'Réel 2024'!$A$2:$AO$2,0))</f>
        <v>0</v>
      </c>
      <c r="P303" s="353">
        <f t="shared" si="55"/>
        <v>0</v>
      </c>
      <c r="Q303" s="276">
        <f t="array" ref="Q303">+INDEX('Réel 2024'!$A$2:$AO$501,MATCH($A303,'Réel 2024'!$A$2:$A$501,0),MATCH(Q$2,'Réel 2024'!$A$2:$AO$2,0))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407848.18234</v>
      </c>
      <c r="E304" s="407">
        <f>IF(D304&lt;=0,0,F304/D304)</f>
        <v>0.25969081646023107</v>
      </c>
      <c r="F304" s="392">
        <f>SUM(F295:F303)</f>
        <v>105914.42746369579</v>
      </c>
      <c r="G304" s="390"/>
      <c r="H304" s="407"/>
      <c r="I304" s="392"/>
      <c r="J304" s="390">
        <f t="shared" ref="J304" si="59">SUM(J295:J303)</f>
        <v>477364.30000000005</v>
      </c>
      <c r="K304" s="407">
        <f t="shared" si="52"/>
        <v>0.23494088267597718</v>
      </c>
      <c r="L304" s="392">
        <f>SUM(L295:L303)</f>
        <v>112152.38999999998</v>
      </c>
      <c r="M304" s="408">
        <f>(+J304-D304)/D304</f>
        <v>0.17044606466346438</v>
      </c>
      <c r="N304" s="392">
        <f t="shared" si="54"/>
        <v>6237.9625363041996</v>
      </c>
      <c r="O304" s="390">
        <f>SUM(O295:O303)</f>
        <v>381493.2</v>
      </c>
      <c r="P304" s="407">
        <f>IF(O304&lt;=0,0,Q304/O304)</f>
        <v>0.25340595848104208</v>
      </c>
      <c r="Q304" s="392">
        <f t="shared" ref="Q304" si="60">SUM(Q295:Q303)</f>
        <v>96672.649999999892</v>
      </c>
      <c r="R304" s="408">
        <f t="shared" si="56"/>
        <v>0.25130487253770195</v>
      </c>
      <c r="S304" s="392">
        <f t="shared" si="57"/>
        <v>15479.740000000093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5.8896249412691032E-2</v>
      </c>
      <c r="O305" s="253"/>
      <c r="P305" s="41"/>
      <c r="Q305" s="263"/>
      <c r="R305" s="253"/>
      <c r="S305" s="265">
        <f>IF(Q304=0,0,S304/Q304)</f>
        <v>0.16012533017353006</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23014.84</v>
      </c>
      <c r="E307" s="353">
        <f>IF(D307=0,0,F307/D307)</f>
        <v>0.17100000000000001</v>
      </c>
      <c r="F307" s="317">
        <f>+INDEX('Budget original'!$A$2:$AO$501,MATCH($A307,'Budget original'!$A$2:$A$501,0),MATCH(F$2,'Budget original'!$A$2:$AO$2,0))</f>
        <v>3935.5376400000005</v>
      </c>
      <c r="G307" s="291"/>
      <c r="H307" s="353"/>
      <c r="I307" s="317"/>
      <c r="J307" s="254">
        <f>-SUMIFS(BV_Data_An_Cour!$O:$O,BV_Data_An_Cour!$X:$X,"Oui",BV_Data_An_Cour!$U:$U,$B307,BV_Data_An_Cour!$V:$V,$C307)</f>
        <v>32612.16</v>
      </c>
      <c r="K307" s="353">
        <f t="shared" ref="K307:K309" si="61">IF(J307&lt;=0,0,L307/J307)</f>
        <v>0.1719337204282084</v>
      </c>
      <c r="L307" s="317">
        <f>-SUMIFS(BV_Data_An_Cour!$O:$O,BV_Data_An_Cour!$U:$U,$B307,BV_Data_An_Cour!$V:$V,$C307,BV_Data_An_Cour!$W:$W,$L$2)</f>
        <v>5607.130000000001</v>
      </c>
      <c r="M307" s="292">
        <f>(+J307-D307)/D307</f>
        <v>0.41700572326377239</v>
      </c>
      <c r="N307" s="276">
        <f>L307-F307</f>
        <v>1671.5923600000006</v>
      </c>
      <c r="O307" s="254">
        <f t="array" ref="O307">+INDEX('Réel 2024'!$A$2:$AO$501,MATCH($A307,'Réel 2024'!$A$2:$A$501,0),MATCH(O$2,'Réel 2024'!$A$2:$AO$2,0))</f>
        <v>17894.14</v>
      </c>
      <c r="P307" s="353">
        <f t="shared" ref="P307:P308" si="62">IF(O307=0,0,Q307/O307)</f>
        <v>0.15636012683481798</v>
      </c>
      <c r="Q307" s="317">
        <f t="array" ref="Q307">+INDEX('Réel 2024'!$A$2:$AO$501,MATCH($A307,'Réel 2024'!$A$2:$A$501,0),MATCH(Q$2,'Réel 2024'!$A$2:$AO$2,0))</f>
        <v>2797.9299999999898</v>
      </c>
      <c r="R307" s="292">
        <f t="shared" ref="R307:R309" si="63">IF(O307=0,0,(J307-O307)/O307)</f>
        <v>0.82250502119688351</v>
      </c>
      <c r="S307" s="276">
        <f t="shared" ref="S307:S309" si="64">L307-Q307</f>
        <v>2809.2000000000112</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19997.678345249682</v>
      </c>
      <c r="E308" s="353">
        <f>IF(D308=0,0,F308/D308)</f>
        <v>0.25600000000000001</v>
      </c>
      <c r="F308" s="296">
        <f>+INDEX('Budget original'!$A$2:$AO$501,MATCH($A308,'Budget original'!$A$2:$A$501,0),MATCH(F$2,'Budget original'!$A$2:$AO$2,0))</f>
        <v>5119.4056563839185</v>
      </c>
      <c r="G308" s="291"/>
      <c r="H308" s="353"/>
      <c r="I308" s="296"/>
      <c r="J308" s="254">
        <f>-SUMIFS(BV_Data_An_Cour!$O:$O,BV_Data_An_Cour!$X:$X,"Oui",BV_Data_An_Cour!$U:$U,$B308,BV_Data_An_Cour!$V:$V,$C308)</f>
        <v>25642.9</v>
      </c>
      <c r="K308" s="353">
        <f t="shared" si="61"/>
        <v>0.28574459207031966</v>
      </c>
      <c r="L308" s="296">
        <f>-SUMIFS(BV_Data_An_Cour!$O:$O,BV_Data_An_Cour!$U:$U,$B308,BV_Data_An_Cour!$V:$V,$C308,BV_Data_An_Cour!$W:$W,$L$2)</f>
        <v>7327.32</v>
      </c>
      <c r="M308" s="292">
        <f>(+J308-D308)/D308</f>
        <v>0.282293852180661</v>
      </c>
      <c r="N308" s="276">
        <f>L308-F308</f>
        <v>2207.9143436160812</v>
      </c>
      <c r="O308" s="254">
        <f t="array" ref="O308">+INDEX('Réel 2024'!$A$2:$AO$501,MATCH($A308,'Réel 2024'!$A$2:$A$501,0),MATCH(O$2,'Réel 2024'!$A$2:$AO$2,0))</f>
        <v>21225.38</v>
      </c>
      <c r="P308" s="353">
        <f t="shared" si="62"/>
        <v>0.24730440632864994</v>
      </c>
      <c r="Q308" s="296">
        <f t="array" ref="Q308">+INDEX('Réel 2024'!$A$2:$AO$501,MATCH($A308,'Réel 2024'!$A$2:$A$501,0),MATCH(Q$2,'Réel 2024'!$A$2:$AO$2,0))</f>
        <v>5249.13</v>
      </c>
      <c r="R308" s="292">
        <f t="shared" si="63"/>
        <v>0.20812442462749783</v>
      </c>
      <c r="S308" s="276">
        <f t="shared" si="64"/>
        <v>2078.1899999999996</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450860.7006852497</v>
      </c>
      <c r="E309" s="407">
        <f>IF(D309&lt;=0,0,F309/D309)</f>
        <v>0.25499976064744873</v>
      </c>
      <c r="F309" s="392">
        <f>F304+F307+F308</f>
        <v>114969.37076007971</v>
      </c>
      <c r="G309" s="393"/>
      <c r="H309" s="407"/>
      <c r="I309" s="392"/>
      <c r="J309" s="393">
        <f t="shared" ref="J309" si="65">J304+J307+J308</f>
        <v>535619.36</v>
      </c>
      <c r="K309" s="407">
        <f t="shared" si="61"/>
        <v>0.23353681614495786</v>
      </c>
      <c r="L309" s="392">
        <f>L304+L307+L308</f>
        <v>125086.84</v>
      </c>
      <c r="M309" s="408">
        <f>(+J309-D309)/D309</f>
        <v>0.18799300800874447</v>
      </c>
      <c r="N309" s="392">
        <f>L309-F309</f>
        <v>10117.46923992029</v>
      </c>
      <c r="O309" s="393">
        <f>O304+O307+O308</f>
        <v>420612.72000000003</v>
      </c>
      <c r="P309" s="407">
        <f>IF(O309&lt;=0,0,Q309/O309)</f>
        <v>0.24896943202288291</v>
      </c>
      <c r="Q309" s="392">
        <f t="shared" ref="Q309" si="66">Q304+Q307+Q308</f>
        <v>104719.70999999989</v>
      </c>
      <c r="R309" s="408">
        <f t="shared" si="63"/>
        <v>0.27342644321360504</v>
      </c>
      <c r="S309" s="392">
        <f t="shared" si="64"/>
        <v>20367.130000000107</v>
      </c>
      <c r="T309" s="41"/>
      <c r="U309" s="29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8.8001431799027752E-2</v>
      </c>
      <c r="O310" s="253"/>
      <c r="P310" s="41"/>
      <c r="Q310" s="263"/>
      <c r="R310" s="253"/>
      <c r="S310" s="265">
        <f>IF(Q309=0,0,S309/Q309)</f>
        <v>0.19449184876467027</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2024'!$A$2:$AO$501,MATCH($A312,'Réel 2024'!$A$2:$A$501,0),MATCH(O$2,'Réel 2024'!$A$2:$AO$2,0))</f>
        <v>0</v>
      </c>
      <c r="P312" s="354">
        <f>IF(O312=0,0,Q312/O312)</f>
        <v>0</v>
      </c>
      <c r="Q312" s="248">
        <f t="array" ref="Q312">+INDEX('Réel 2024'!$A$2:$AO$501,MATCH($A312,'Réel 2024'!$A$2:$A$501,0),MATCH(Q$2,'Réel 2024'!$A$2:$AO$2,0))</f>
        <v>0</v>
      </c>
      <c r="R312" s="354">
        <f>IF(S312=0,0,(+O312-K312)/K312)</f>
        <v>0</v>
      </c>
      <c r="S312" s="296">
        <f>L312-Q312</f>
        <v>0</v>
      </c>
      <c r="T312" s="41"/>
      <c r="U312" s="29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450860.7006852497</v>
      </c>
      <c r="E314" s="410">
        <f>IF(D314&lt;=0,0,F314/D314)</f>
        <v>0.25499976064744873</v>
      </c>
      <c r="F314" s="281">
        <f>F309+F312</f>
        <v>114969.37076007971</v>
      </c>
      <c r="G314" s="282"/>
      <c r="H314" s="410"/>
      <c r="I314" s="281"/>
      <c r="J314" s="282">
        <f t="shared" ref="J314" si="67">J309+J312</f>
        <v>535619.36</v>
      </c>
      <c r="K314" s="410">
        <f>IF(J314&lt;=0,0,L314/J314)</f>
        <v>0.23353681614495786</v>
      </c>
      <c r="L314" s="281">
        <f>L309+L312</f>
        <v>125086.84</v>
      </c>
      <c r="M314" s="411">
        <f>(+J314-D314)/D314</f>
        <v>0.18799300800874447</v>
      </c>
      <c r="N314" s="412">
        <f>L314-F314</f>
        <v>10117.46923992029</v>
      </c>
      <c r="O314" s="282">
        <f>O309+O312</f>
        <v>420612.72000000003</v>
      </c>
      <c r="P314" s="410">
        <f>IF(O314&lt;=0,0,Q314/O314)</f>
        <v>0.24896943202288291</v>
      </c>
      <c r="Q314" s="281">
        <f t="shared" ref="Q314" si="68">Q309+Q312</f>
        <v>104719.70999999989</v>
      </c>
      <c r="R314" s="411">
        <f>IF(O314=0,0,(J314-O314)/O314)</f>
        <v>0.27342644321360504</v>
      </c>
      <c r="S314" s="412">
        <f>L314-Q314</f>
        <v>20367.130000000107</v>
      </c>
      <c r="T314" s="41"/>
      <c r="U314" s="94"/>
      <c r="V314" s="291"/>
      <c r="W314" s="29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1.0880014317990279</v>
      </c>
      <c r="M315" s="416"/>
      <c r="N315" s="287">
        <f>N314/F314</f>
        <v>8.8001431799027752E-2</v>
      </c>
      <c r="O315" s="415"/>
      <c r="P315" s="414"/>
      <c r="Q315" s="335"/>
      <c r="R315" s="416"/>
      <c r="S315" s="287">
        <f>IF(Q314=0,0,S314/Q314)</f>
        <v>0.19449184876467027</v>
      </c>
      <c r="T315" s="41"/>
      <c r="U315" s="38"/>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38"/>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38"/>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6935.8538461538465</v>
      </c>
      <c r="G318" s="253"/>
      <c r="H318" s="41"/>
      <c r="I318" s="254"/>
      <c r="J318" s="253"/>
      <c r="K318" s="41"/>
      <c r="L318" s="256">
        <f>SUMIFS(BV_Data_An_Cour!$O:$O,BV_Data_An_Cour!$U:$U,$B318,BV_Data_An_Cour!$V:$V,$C318,BV_Data_An_Cour!$W:$W,$L$2)</f>
        <v>8530.26</v>
      </c>
      <c r="M318" s="253"/>
      <c r="N318" s="256">
        <f t="shared" ref="N318:N348" si="69">L318-F318</f>
        <v>1594.4061538461538</v>
      </c>
      <c r="O318" s="253"/>
      <c r="P318" s="41"/>
      <c r="Q318" s="256">
        <f t="array" ref="Q318">+INDEX('Réel 2024'!$A$2:$AO$501,MATCH($A318,'Réel 2024'!$A$2:$A$501,0),MATCH(Q$2,'Réel 2024'!$A$2:$AO$2,0))</f>
        <v>9176.36</v>
      </c>
      <c r="R318" s="253"/>
      <c r="S318" s="256">
        <f t="shared" ref="S318:S348" si="70">L318-Q318</f>
        <v>-646.10000000000036</v>
      </c>
      <c r="T318" s="41"/>
      <c r="U318" s="38"/>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26364.924123076926</v>
      </c>
      <c r="G319" s="298"/>
      <c r="H319" s="41"/>
      <c r="I319" s="248"/>
      <c r="J319" s="253"/>
      <c r="K319" s="41"/>
      <c r="L319" s="256">
        <f>SUMIFS(BV_Data_An_Cour!$O:$O,BV_Data_An_Cour!$U:$U,$B319,BV_Data_An_Cour!$V:$V,$C319,BV_Data_An_Cour!$W:$W,$L$2)</f>
        <v>22650.76</v>
      </c>
      <c r="M319" s="253"/>
      <c r="N319" s="256">
        <f t="shared" si="69"/>
        <v>-3714.1641230769274</v>
      </c>
      <c r="O319" s="253"/>
      <c r="P319" s="41"/>
      <c r="Q319" s="256">
        <f t="array" ref="Q319">+INDEX('Réel 2024'!$A$2:$AO$501,MATCH($A319,'Réel 2024'!$A$2:$A$501,0),MATCH(Q$2,'Réel 2024'!$A$2:$AO$2,0))</f>
        <v>23703.279999999999</v>
      </c>
      <c r="R319" s="253"/>
      <c r="S319" s="276">
        <f t="shared" si="70"/>
        <v>-1052.5200000000004</v>
      </c>
      <c r="T319" s="41"/>
      <c r="U319" s="38"/>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2024'!$A$2:$AO$501,MATCH($A320,'Réel 2024'!$A$2:$A$501,0),MATCH(Q$2,'Réel 2024'!$A$2:$AO$2,0))</f>
        <v>113.92</v>
      </c>
      <c r="R320" s="241"/>
      <c r="S320" s="317">
        <f t="shared" si="70"/>
        <v>0</v>
      </c>
      <c r="T320" s="41"/>
      <c r="U320" s="1204"/>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2024'!$A$2:$AO$501,MATCH($A321,'Réel 2024'!$A$2:$A$501,0),MATCH(Q$2,'Réel 2024'!$A$2:$AO$2,0))</f>
        <v>0</v>
      </c>
      <c r="R321" s="253"/>
      <c r="S321" s="276">
        <f t="shared" si="70"/>
        <v>0</v>
      </c>
      <c r="T321" s="41"/>
      <c r="U321" s="38"/>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2024'!$A$2:$AO$501,MATCH($A322,'Réel 2024'!$A$2:$A$501,0),MATCH(Q$2,'Réel 2024'!$A$2:$AO$2,0))</f>
        <v>0</v>
      </c>
      <c r="R322" s="253"/>
      <c r="S322" s="276">
        <f t="shared" si="70"/>
        <v>0</v>
      </c>
      <c r="T322" s="41"/>
      <c r="U322" s="38"/>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2024'!$A$2:$AO$501,MATCH($A323,'Réel 2024'!$A$2:$A$501,0),MATCH(Q$2,'Réel 2024'!$A$2:$AO$2,0))</f>
        <v>0</v>
      </c>
      <c r="R323" s="253"/>
      <c r="S323" s="276">
        <f t="shared" si="70"/>
        <v>0</v>
      </c>
      <c r="T323" s="41"/>
      <c r="U323" s="38"/>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2024'!$A$2:$AO$501,MATCH($A324,'Réel 2024'!$A$2:$A$501,0),MATCH(Q$2,'Réel 2024'!$A$2:$AO$2,0))</f>
        <v>0</v>
      </c>
      <c r="R324" s="253"/>
      <c r="S324" s="276">
        <f t="shared" si="70"/>
        <v>0</v>
      </c>
      <c r="T324" s="41"/>
      <c r="U324" s="38"/>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4125.0641995076921</v>
      </c>
      <c r="G325" s="298"/>
      <c r="H325" s="41"/>
      <c r="I325" s="248"/>
      <c r="J325" s="253"/>
      <c r="K325" s="41"/>
      <c r="L325" s="256">
        <f>SUMIFS(BV_Data_An_Cour!$O:$O,BV_Data_An_Cour!$U:$U,$B325,BV_Data_An_Cour!$V:$V,$C325,BV_Data_An_Cour!$W:$W,$L$2)</f>
        <v>3917.79</v>
      </c>
      <c r="M325" s="253"/>
      <c r="N325" s="256">
        <f t="shared" si="69"/>
        <v>-207.27419950769217</v>
      </c>
      <c r="O325" s="253"/>
      <c r="P325" s="41"/>
      <c r="Q325" s="256">
        <f t="array" ref="Q325">+INDEX('Réel 2024'!$A$2:$AO$501,MATCH($A325,'Réel 2024'!$A$2:$A$501,0),MATCH(Q$2,'Réel 2024'!$A$2:$AO$2,0))</f>
        <v>3053.73</v>
      </c>
      <c r="R325" s="253"/>
      <c r="S325" s="276">
        <f t="shared" si="70"/>
        <v>864.06</v>
      </c>
      <c r="T325" s="41"/>
      <c r="U325" s="38"/>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5015.4965597538467</v>
      </c>
      <c r="G326" s="316"/>
      <c r="H326" s="315"/>
      <c r="I326" s="254"/>
      <c r="J326" s="241"/>
      <c r="K326" s="315"/>
      <c r="L326" s="272">
        <f>SUMIFS(BV_Data_An_Cour!$O:$O,BV_Data_An_Cour!$U:$U,$B326,BV_Data_An_Cour!$V:$V,$C326,BV_Data_An_Cour!$W:$W,$L$2)</f>
        <v>6835.35</v>
      </c>
      <c r="M326" s="241"/>
      <c r="N326" s="272">
        <f t="shared" si="69"/>
        <v>1819.8534402461537</v>
      </c>
      <c r="O326" s="241"/>
      <c r="P326" s="315"/>
      <c r="Q326" s="272">
        <f t="array" ref="Q326">+INDEX('Réel 2024'!$A$2:$AO$501,MATCH($A326,'Réel 2024'!$A$2:$A$501,0),MATCH(Q$2,'Réel 2024'!$A$2:$AO$2,0))</f>
        <v>6876.95</v>
      </c>
      <c r="R326" s="241"/>
      <c r="S326" s="317">
        <f t="shared" si="70"/>
        <v>-41.599999999999454</v>
      </c>
      <c r="T326" s="41"/>
      <c r="U326" s="38"/>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2584.0710536123074</v>
      </c>
      <c r="G327" s="298"/>
      <c r="H327" s="41"/>
      <c r="I327" s="254"/>
      <c r="J327" s="253"/>
      <c r="K327" s="41"/>
      <c r="L327" s="256">
        <f>SUMIFS(BV_Data_An_Cour!$O:$O,BV_Data_An_Cour!$U:$U,$B327,BV_Data_An_Cour!$V:$V,$C327,BV_Data_An_Cour!$W:$W,$L$2)</f>
        <v>756.55</v>
      </c>
      <c r="M327" s="253"/>
      <c r="N327" s="256">
        <f t="shared" si="69"/>
        <v>-1827.5210536123075</v>
      </c>
      <c r="O327" s="253"/>
      <c r="P327" s="41"/>
      <c r="Q327" s="256">
        <f t="array" ref="Q327">+INDEX('Réel 2024'!$A$2:$AO$501,MATCH($A327,'Réel 2024'!$A$2:$A$501,0),MATCH(Q$2,'Réel 2024'!$A$2:$AO$2,0))</f>
        <v>1183.98</v>
      </c>
      <c r="R327" s="253"/>
      <c r="S327" s="276">
        <f t="shared" si="70"/>
        <v>-427.43000000000006</v>
      </c>
      <c r="T327" s="41"/>
      <c r="U327" s="38"/>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1126.6695170461537</v>
      </c>
      <c r="G328" s="298"/>
      <c r="H328" s="41"/>
      <c r="I328" s="254"/>
      <c r="J328" s="253"/>
      <c r="K328" s="41"/>
      <c r="L328" s="256">
        <f>SUMIFS(BV_Data_An_Cour!$O:$O,BV_Data_An_Cour!$U:$U,$B328,BV_Data_An_Cour!$V:$V,$C328,BV_Data_An_Cour!$W:$W,$L$2)</f>
        <v>1425.7</v>
      </c>
      <c r="M328" s="253"/>
      <c r="N328" s="256">
        <f t="shared" si="69"/>
        <v>299.03048295384633</v>
      </c>
      <c r="O328" s="253"/>
      <c r="P328" s="41"/>
      <c r="Q328" s="256">
        <f t="array" ref="Q328">+INDEX('Réel 2024'!$A$2:$AO$501,MATCH($A328,'Réel 2024'!$A$2:$A$501,0),MATCH(Q$2,'Réel 2024'!$A$2:$AO$2,0))</f>
        <v>872.62</v>
      </c>
      <c r="R328" s="253"/>
      <c r="S328" s="276">
        <f t="shared" si="70"/>
        <v>553.08000000000004</v>
      </c>
      <c r="T328" s="41"/>
      <c r="U328" s="38"/>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2024'!$A$2:$AO$501,MATCH($A329,'Réel 2024'!$A$2:$A$501,0),MATCH(Q$2,'Réel 2024'!$A$2:$AO$2,0))</f>
        <v>0</v>
      </c>
      <c r="R329" s="246"/>
      <c r="S329" s="296">
        <f t="shared" si="70"/>
        <v>0</v>
      </c>
      <c r="T329" s="41"/>
      <c r="U329" s="38"/>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0.40264920253934972</v>
      </c>
      <c r="F330" s="307">
        <f>+SUM(F318:F329)</f>
        <v>46292.325452996927</v>
      </c>
      <c r="G330" s="308"/>
      <c r="H330" s="306"/>
      <c r="I330" s="307"/>
      <c r="J330" s="308" t="s">
        <v>119</v>
      </c>
      <c r="K330" s="306">
        <f>L330/L$314</f>
        <v>0.35359698909973258</v>
      </c>
      <c r="L330" s="307">
        <f>+SUM(L318:L329)</f>
        <v>44230.329999999994</v>
      </c>
      <c r="M330" s="355"/>
      <c r="N330" s="320">
        <f t="shared" si="69"/>
        <v>-2061.9954529969327</v>
      </c>
      <c r="O330" s="308" t="s">
        <v>119</v>
      </c>
      <c r="P330" s="306">
        <f>Q330/Q$314</f>
        <v>0.42953556689566891</v>
      </c>
      <c r="Q330" s="307">
        <f>+SUM(Q318:Q329)</f>
        <v>44980.840000000004</v>
      </c>
      <c r="R330" s="355"/>
      <c r="S330" s="320">
        <f t="shared" si="70"/>
        <v>-750.51000000000931</v>
      </c>
      <c r="T330" s="41"/>
      <c r="U330" s="38"/>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2588.4355861060794</v>
      </c>
      <c r="G331" s="298"/>
      <c r="H331" s="41"/>
      <c r="I331" s="254"/>
      <c r="J331" s="253"/>
      <c r="K331" s="41"/>
      <c r="L331" s="256">
        <f>SUMIFS(BV_Data_An_Cour!$O:$O,BV_Data_An_Cour!$U:$U,$B331,BV_Data_An_Cour!$V:$V,$C331,BV_Data_An_Cour!$W:$W,$L$2)</f>
        <v>2995.28</v>
      </c>
      <c r="M331" s="253"/>
      <c r="N331" s="276">
        <f t="shared" si="69"/>
        <v>406.84441389392077</v>
      </c>
      <c r="O331" s="253"/>
      <c r="P331" s="41"/>
      <c r="Q331" s="256">
        <f t="array" ref="Q331">+INDEX('Réel 2024'!$A$2:$AO$501,MATCH($A331,'Réel 2024'!$A$2:$A$501,0),MATCH(Q$2,'Réel 2024'!$A$2:$AO$2,0))</f>
        <v>3503.16</v>
      </c>
      <c r="R331" s="253"/>
      <c r="S331" s="276">
        <f t="shared" si="70"/>
        <v>-507.87999999999965</v>
      </c>
      <c r="T331" s="41"/>
      <c r="U331" s="38"/>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561.52577820142733</v>
      </c>
      <c r="G332" s="298"/>
      <c r="H332" s="41"/>
      <c r="I332" s="254"/>
      <c r="J332" s="253"/>
      <c r="K332" s="41"/>
      <c r="L332" s="256">
        <f>SUMIFS(BV_Data_An_Cour!$O:$O,BV_Data_An_Cour!$U:$U,$B332,BV_Data_An_Cour!$V:$V,$C332,BV_Data_An_Cour!$W:$W,$L$2)</f>
        <v>517.6</v>
      </c>
      <c r="M332" s="253"/>
      <c r="N332" s="276">
        <f t="shared" si="69"/>
        <v>-43.925778201427306</v>
      </c>
      <c r="O332" s="253"/>
      <c r="P332" s="41"/>
      <c r="Q332" s="256">
        <f t="array" ref="Q332">+INDEX('Réel 2024'!$A$2:$AO$501,MATCH($A332,'Réel 2024'!$A$2:$A$501,0),MATCH(Q$2,'Réel 2024'!$A$2:$AO$2,0))</f>
        <v>81.150000000000006</v>
      </c>
      <c r="R332" s="253"/>
      <c r="S332" s="276">
        <f t="shared" si="70"/>
        <v>436.45000000000005</v>
      </c>
      <c r="T332" s="41"/>
      <c r="U332" s="38"/>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1264.3204888888893</v>
      </c>
      <c r="G333" s="300"/>
      <c r="H333" s="318"/>
      <c r="I333" s="248"/>
      <c r="J333" s="246"/>
      <c r="K333" s="318"/>
      <c r="L333" s="256">
        <f>SUMIFS(BV_Data_An_Cour!$O:$O,BV_Data_An_Cour!$U:$U,$B333,BV_Data_An_Cour!$V:$V,$C333,BV_Data_An_Cour!$W:$W,$L$2)</f>
        <v>1088.69</v>
      </c>
      <c r="M333" s="246"/>
      <c r="N333" s="296">
        <f t="shared" si="69"/>
        <v>-175.6304888888892</v>
      </c>
      <c r="O333" s="246"/>
      <c r="P333" s="318"/>
      <c r="Q333" s="256">
        <f t="array" ref="Q333">+INDEX('Réel 2024'!$A$2:$AO$501,MATCH($A333,'Réel 2024'!$A$2:$A$501,0),MATCH(Q$2,'Réel 2024'!$A$2:$AO$2,0))</f>
        <v>1111.49</v>
      </c>
      <c r="R333" s="246"/>
      <c r="S333" s="296">
        <f t="shared" si="70"/>
        <v>-22.799999999999955</v>
      </c>
      <c r="T333" s="41"/>
      <c r="U333" s="38"/>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4449.6567389444454</v>
      </c>
      <c r="G334" s="298"/>
      <c r="H334" s="41"/>
      <c r="I334" s="254"/>
      <c r="J334" s="253"/>
      <c r="K334" s="41"/>
      <c r="L334" s="272">
        <f>SUMIFS(BV_Data_An_Cour!$O:$O,BV_Data_An_Cour!$U:$U,$B334,BV_Data_An_Cour!$V:$V,$C334,BV_Data_An_Cour!$W:$W,$L$2)</f>
        <v>5753.09</v>
      </c>
      <c r="M334" s="253"/>
      <c r="N334" s="276">
        <f t="shared" si="69"/>
        <v>1303.4332610555548</v>
      </c>
      <c r="O334" s="253"/>
      <c r="P334" s="41"/>
      <c r="Q334" s="272">
        <f t="array" ref="Q334">+INDEX('Réel 2024'!$A$2:$AO$501,MATCH($A334,'Réel 2024'!$A$2:$A$501,0),MATCH(Q$2,'Réel 2024'!$A$2:$AO$2,0))</f>
        <v>4379.1499999999996</v>
      </c>
      <c r="R334" s="253"/>
      <c r="S334" s="276">
        <f t="shared" si="70"/>
        <v>1373.9400000000005</v>
      </c>
      <c r="T334" s="41"/>
      <c r="U334" s="38"/>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818.27646887680896</v>
      </c>
      <c r="G335" s="298"/>
      <c r="H335" s="41"/>
      <c r="I335" s="254"/>
      <c r="J335" s="253"/>
      <c r="K335" s="41"/>
      <c r="L335" s="256">
        <f>SUMIFS(BV_Data_An_Cour!$O:$O,BV_Data_An_Cour!$U:$U,$B335,BV_Data_An_Cour!$V:$V,$C335,BV_Data_An_Cour!$W:$W,$L$2)</f>
        <v>641.58000000000004</v>
      </c>
      <c r="M335" s="253"/>
      <c r="N335" s="276">
        <f t="shared" si="69"/>
        <v>-176.69646887680892</v>
      </c>
      <c r="O335" s="253"/>
      <c r="P335" s="41"/>
      <c r="Q335" s="256">
        <f t="array" ref="Q335">+INDEX('Réel 2024'!$A$2:$AO$501,MATCH($A335,'Réel 2024'!$A$2:$A$501,0),MATCH(Q$2,'Réel 2024'!$A$2:$AO$2,0))</f>
        <v>1002.14</v>
      </c>
      <c r="R335" s="253"/>
      <c r="S335" s="276">
        <f t="shared" si="70"/>
        <v>-360.55999999999995</v>
      </c>
      <c r="T335" s="41"/>
      <c r="U335" s="38"/>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12488.085877265243</v>
      </c>
      <c r="G336" s="300"/>
      <c r="H336" s="318"/>
      <c r="I336" s="248"/>
      <c r="J336" s="246"/>
      <c r="K336" s="318"/>
      <c r="L336" s="248">
        <f>SUMIFS(BV_Data_An_Cour!$O:$O,BV_Data_An_Cour!$U:$U,$B336,BV_Data_An_Cour!$V:$V,$C336,BV_Data_An_Cour!$W:$W,$L$2)</f>
        <v>15111.77</v>
      </c>
      <c r="M336" s="246"/>
      <c r="N336" s="296">
        <f t="shared" si="69"/>
        <v>2623.6841227347577</v>
      </c>
      <c r="O336" s="246"/>
      <c r="P336" s="318"/>
      <c r="Q336" s="248">
        <f t="array" ref="Q336">+INDEX('Réel 2024'!$A$2:$AO$501,MATCH($A336,'Réel 2024'!$A$2:$A$501,0),MATCH(Q$2,'Réel 2024'!$A$2:$AO$2,0))</f>
        <v>10773.75</v>
      </c>
      <c r="R336" s="246"/>
      <c r="S336" s="296">
        <f t="shared" si="70"/>
        <v>4338.0200000000004</v>
      </c>
      <c r="T336" s="41"/>
      <c r="U336" s="38"/>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2024'!$A$2:$AO$501,MATCH($A337,'Réel 2024'!$A$2:$A$501,0),MATCH(Q$2,'Réel 2024'!$A$2:$AO$2,0))</f>
        <v>0</v>
      </c>
      <c r="R337" s="253"/>
      <c r="S337" s="276">
        <f t="shared" si="70"/>
        <v>0</v>
      </c>
      <c r="T337" s="41"/>
      <c r="U337" s="38"/>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255.67533333333333</v>
      </c>
      <c r="G338" s="298"/>
      <c r="H338" s="41"/>
      <c r="I338" s="254"/>
      <c r="J338" s="253"/>
      <c r="K338" s="41"/>
      <c r="L338" s="256">
        <f>SUMIFS(BV_Data_An_Cour!$O:$O,BV_Data_An_Cour!$U:$U,$B338,BV_Data_An_Cour!$V:$V,$C338,BV_Data_An_Cour!$W:$W,$L$2)</f>
        <v>0</v>
      </c>
      <c r="M338" s="253"/>
      <c r="N338" s="276">
        <f t="shared" si="69"/>
        <v>-255.67533333333333</v>
      </c>
      <c r="O338" s="253"/>
      <c r="P338" s="41"/>
      <c r="Q338" s="256">
        <f t="array" ref="Q338">+INDEX('Réel 2024'!$A$2:$AO$501,MATCH($A338,'Réel 2024'!$A$2:$A$501,0),MATCH(Q$2,'Réel 2024'!$A$2:$AO$2,0))</f>
        <v>9.99</v>
      </c>
      <c r="R338" s="253"/>
      <c r="S338" s="276">
        <f t="shared" si="70"/>
        <v>-9.99</v>
      </c>
      <c r="T338" s="41"/>
      <c r="U338" s="38"/>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28.333333333333332</v>
      </c>
      <c r="G339" s="298"/>
      <c r="H339" s="41"/>
      <c r="I339" s="254"/>
      <c r="J339" s="253"/>
      <c r="K339" s="41"/>
      <c r="L339" s="256">
        <f>SUMIFS(BV_Data_An_Cour!$O:$O,BV_Data_An_Cour!$U:$U,$B339,BV_Data_An_Cour!$V:$V,$C339,BV_Data_An_Cour!$W:$W,$L$2)</f>
        <v>0</v>
      </c>
      <c r="M339" s="253"/>
      <c r="N339" s="276">
        <f t="shared" si="69"/>
        <v>-28.333333333333332</v>
      </c>
      <c r="O339" s="253"/>
      <c r="P339" s="41"/>
      <c r="Q339" s="256">
        <f t="array" ref="Q339">+INDEX('Réel 2024'!$A$2:$AO$501,MATCH($A339,'Réel 2024'!$A$2:$A$501,0),MATCH(Q$2,'Réel 2024'!$A$2:$AO$2,0))</f>
        <v>0</v>
      </c>
      <c r="R339" s="253"/>
      <c r="S339" s="276">
        <f t="shared" si="70"/>
        <v>0</v>
      </c>
      <c r="T339" s="41"/>
      <c r="U339" s="38"/>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716.40904661649995</v>
      </c>
      <c r="G340" s="298"/>
      <c r="H340" s="41"/>
      <c r="I340" s="254"/>
      <c r="J340" s="253"/>
      <c r="K340" s="41"/>
      <c r="L340" s="256">
        <f>SUMIFS(BV_Data_An_Cour!$O:$O,BV_Data_An_Cour!$U:$U,$B340,BV_Data_An_Cour!$V:$V,$C340,BV_Data_An_Cour!$W:$W,$L$2)</f>
        <v>799.65</v>
      </c>
      <c r="M340" s="253"/>
      <c r="N340" s="276">
        <f t="shared" si="69"/>
        <v>83.240953383500027</v>
      </c>
      <c r="O340" s="253"/>
      <c r="P340" s="41"/>
      <c r="Q340" s="256">
        <f t="array" ref="Q340">+INDEX('Réel 2024'!$A$2:$AO$501,MATCH($A340,'Réel 2024'!$A$2:$A$501,0),MATCH(Q$2,'Réel 2024'!$A$2:$AO$2,0))</f>
        <v>278.54000000000002</v>
      </c>
      <c r="R340" s="253"/>
      <c r="S340" s="276">
        <f t="shared" si="70"/>
        <v>521.1099999999999</v>
      </c>
      <c r="T340" s="41"/>
      <c r="U340" s="38"/>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115.54074359217363</v>
      </c>
      <c r="G341" s="298"/>
      <c r="H341" s="41"/>
      <c r="I341" s="254"/>
      <c r="J341" s="253"/>
      <c r="K341" s="41"/>
      <c r="L341" s="256">
        <f>SUMIFS(BV_Data_An_Cour!$O:$O,BV_Data_An_Cour!$U:$U,$B341,BV_Data_An_Cour!$V:$V,$C341,BV_Data_An_Cour!$W:$W,$L$2)</f>
        <v>62.25</v>
      </c>
      <c r="M341" s="253"/>
      <c r="N341" s="276">
        <f t="shared" si="69"/>
        <v>-53.290743592173627</v>
      </c>
      <c r="O341" s="253"/>
      <c r="P341" s="41"/>
      <c r="Q341" s="256">
        <f t="array" ref="Q341">+INDEX('Réel 2024'!$A$2:$AO$501,MATCH($A341,'Réel 2024'!$A$2:$A$501,0),MATCH(Q$2,'Réel 2024'!$A$2:$AO$2,0))</f>
        <v>93.83</v>
      </c>
      <c r="R341" s="253"/>
      <c r="S341" s="276">
        <f t="shared" si="70"/>
        <v>-31.58</v>
      </c>
      <c r="T341" s="41"/>
      <c r="U341" s="38"/>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-31.110347462173621</v>
      </c>
      <c r="G342" s="298"/>
      <c r="H342" s="41"/>
      <c r="I342" s="254"/>
      <c r="J342" s="253"/>
      <c r="K342" s="41"/>
      <c r="L342" s="256">
        <f>SUMIFS(BV_Data_An_Cour!$O:$O,BV_Data_An_Cour!$U:$U,$B342,BV_Data_An_Cour!$V:$V,$C342,BV_Data_An_Cour!$W:$W,$L$2)</f>
        <v>-335.96</v>
      </c>
      <c r="M342" s="253"/>
      <c r="N342" s="276">
        <f t="shared" si="69"/>
        <v>-304.84965253782639</v>
      </c>
      <c r="O342" s="253"/>
      <c r="P342" s="41"/>
      <c r="Q342" s="256">
        <f t="array" ref="Q342">+INDEX('Réel 2024'!$A$2:$AO$501,MATCH($A342,'Réel 2024'!$A$2:$A$501,0),MATCH(Q$2,'Réel 2024'!$A$2:$AO$2,0))</f>
        <v>25.75</v>
      </c>
      <c r="R342" s="253"/>
      <c r="S342" s="276">
        <f t="shared" si="70"/>
        <v>-361.71</v>
      </c>
      <c r="T342" s="41"/>
      <c r="U342" s="38"/>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156.51117666245145</v>
      </c>
      <c r="G343" s="298"/>
      <c r="H343" s="41"/>
      <c r="I343" s="254"/>
      <c r="J343" s="253"/>
      <c r="K343" s="41"/>
      <c r="L343" s="256">
        <f>SUMIFS(BV_Data_An_Cour!$O:$O,BV_Data_An_Cour!$U:$U,$B343,BV_Data_An_Cour!$V:$V,$C343,BV_Data_An_Cour!$W:$W,$L$2)</f>
        <v>49</v>
      </c>
      <c r="M343" s="253"/>
      <c r="N343" s="276">
        <f t="shared" si="69"/>
        <v>-107.51117666245145</v>
      </c>
      <c r="O343" s="253"/>
      <c r="P343" s="41"/>
      <c r="Q343" s="256">
        <f t="array" ref="Q343">+INDEX('Réel 2024'!$A$2:$AO$501,MATCH($A343,'Réel 2024'!$A$2:$A$501,0),MATCH(Q$2,'Réel 2024'!$A$2:$AO$2,0))</f>
        <v>147.26</v>
      </c>
      <c r="R343" s="253"/>
      <c r="S343" s="276">
        <f t="shared" si="70"/>
        <v>-98.259999999999991</v>
      </c>
      <c r="T343" s="41"/>
      <c r="U343" s="38"/>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378.95432121431327</v>
      </c>
      <c r="G344" s="298"/>
      <c r="H344" s="41"/>
      <c r="I344" s="254"/>
      <c r="J344" s="253"/>
      <c r="K344" s="41"/>
      <c r="L344" s="256">
        <f>SUMIFS(BV_Data_An_Cour!$O:$O,BV_Data_An_Cour!$U:$U,$B344,BV_Data_An_Cour!$V:$V,$C344,BV_Data_An_Cour!$W:$W,$L$2)</f>
        <v>471.28</v>
      </c>
      <c r="M344" s="253"/>
      <c r="N344" s="276">
        <f t="shared" si="69"/>
        <v>92.325678785686705</v>
      </c>
      <c r="O344" s="253"/>
      <c r="P344" s="41"/>
      <c r="Q344" s="256">
        <f t="array" ref="Q344">+INDEX('Réel 2024'!$A$2:$AO$501,MATCH($A344,'Réel 2024'!$A$2:$A$501,0),MATCH(Q$2,'Réel 2024'!$A$2:$AO$2,0))</f>
        <v>79.75</v>
      </c>
      <c r="R344" s="253"/>
      <c r="S344" s="276">
        <f t="shared" si="70"/>
        <v>391.53</v>
      </c>
      <c r="T344" s="41"/>
      <c r="U344" s="1205"/>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1597.3918737469346</v>
      </c>
      <c r="G345" s="298"/>
      <c r="H345" s="41"/>
      <c r="I345" s="254"/>
      <c r="J345" s="253"/>
      <c r="K345" s="41"/>
      <c r="L345" s="256">
        <f>SUMIFS(BV_Data_An_Cour!$O:$O,BV_Data_An_Cour!$U:$U,$B345,BV_Data_An_Cour!$V:$V,$C345,BV_Data_An_Cour!$W:$W,$L$2)</f>
        <v>1733.14</v>
      </c>
      <c r="M345" s="253"/>
      <c r="N345" s="276">
        <f t="shared" si="69"/>
        <v>135.74812625306549</v>
      </c>
      <c r="O345" s="253"/>
      <c r="P345" s="41"/>
      <c r="Q345" s="256">
        <f t="array" ref="Q345">+INDEX('Réel 2024'!$A$2:$AO$501,MATCH($A345,'Réel 2024'!$A$2:$A$501,0),MATCH(Q$2,'Réel 2024'!$A$2:$AO$2,0))</f>
        <v>1652.78</v>
      </c>
      <c r="R345" s="253"/>
      <c r="S345" s="276">
        <f t="shared" si="70"/>
        <v>80.360000000000127</v>
      </c>
      <c r="T345" s="41"/>
      <c r="U345" s="1205"/>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2024'!$A$2:$AO$501,MATCH($A346,'Réel 2024'!$A$2:$A$501,0),MATCH(Q$2,'Réel 2024'!$A$2:$AO$2,0))</f>
        <v>0</v>
      </c>
      <c r="R346" s="253"/>
      <c r="S346" s="276">
        <f t="shared" si="70"/>
        <v>0</v>
      </c>
      <c r="T346" s="41"/>
      <c r="U346" s="1205"/>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2024'!$A$2:$AO$501,MATCH($A347,'Réel 2024'!$A$2:$A$501,0),MATCH(Q$2,'Réel 2024'!$A$2:$AO$2,0))</f>
        <v>0</v>
      </c>
      <c r="R347" s="253"/>
      <c r="S347" s="276">
        <f t="shared" si="70"/>
        <v>0</v>
      </c>
      <c r="T347" s="41"/>
      <c r="U347" s="1205"/>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2024'!$A$2:$AO$501,MATCH($A348,'Réel 2024'!$A$2:$A$501,0),MATCH(Q$2,'Réel 2024'!$A$2:$AO$2,0))</f>
        <v>0</v>
      </c>
      <c r="R348" s="253"/>
      <c r="S348" s="276">
        <f t="shared" si="70"/>
        <v>0</v>
      </c>
      <c r="T348" s="41"/>
      <c r="U348" s="1205"/>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0.22082408776768847</v>
      </c>
      <c r="F349" s="307">
        <f>+SUM(F331:F348)</f>
        <v>25388.006419319758</v>
      </c>
      <c r="G349" s="308"/>
      <c r="H349" s="306"/>
      <c r="I349" s="307"/>
      <c r="J349" s="308" t="s">
        <v>119</v>
      </c>
      <c r="K349" s="306">
        <f>L349/L$314</f>
        <v>0.23093852238972543</v>
      </c>
      <c r="L349" s="307">
        <f>+SUM(L331:L348)</f>
        <v>28887.370000000003</v>
      </c>
      <c r="M349" s="311"/>
      <c r="N349" s="307">
        <f>+SUM(N331:N348)</f>
        <v>3499.3635806802417</v>
      </c>
      <c r="O349" s="308" t="s">
        <v>119</v>
      </c>
      <c r="P349" s="306">
        <f>Q349/Q$314</f>
        <v>0.2209587860776164</v>
      </c>
      <c r="Q349" s="307">
        <f>+SUM(Q331:Q348)</f>
        <v>23138.74</v>
      </c>
      <c r="R349" s="311"/>
      <c r="S349" s="307">
        <f>+SUM(S331:S348)</f>
        <v>5748.630000000001</v>
      </c>
      <c r="T349" s="41"/>
      <c r="U349" s="1205"/>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38"/>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0.62347329030703824</v>
      </c>
      <c r="F351" s="307">
        <f>F330+F349</f>
        <v>71680.331872316689</v>
      </c>
      <c r="G351" s="308"/>
      <c r="H351" s="306"/>
      <c r="I351" s="307"/>
      <c r="J351" s="308" t="s">
        <v>119</v>
      </c>
      <c r="K351" s="306">
        <f>L351/L$314</f>
        <v>0.58453551148945804</v>
      </c>
      <c r="L351" s="307">
        <f>L330+L349</f>
        <v>73117.7</v>
      </c>
      <c r="M351" s="311"/>
      <c r="N351" s="320">
        <f>L351-F351</f>
        <v>1437.3681276833086</v>
      </c>
      <c r="O351" s="308" t="s">
        <v>119</v>
      </c>
      <c r="P351" s="306">
        <f>Q351/Q$314</f>
        <v>0.65049435297328528</v>
      </c>
      <c r="Q351" s="307">
        <f>Q330+Q349</f>
        <v>68119.58</v>
      </c>
      <c r="R351" s="311"/>
      <c r="S351" s="320">
        <f>L351-Q351</f>
        <v>4998.1199999999953</v>
      </c>
      <c r="T351" s="41"/>
      <c r="U351" s="38"/>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38"/>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43289.038887763018</v>
      </c>
      <c r="G353" s="361"/>
      <c r="H353" s="333"/>
      <c r="I353" s="335"/>
      <c r="J353" s="332"/>
      <c r="K353" s="334"/>
      <c r="L353" s="335">
        <f>L314-L351</f>
        <v>51969.14</v>
      </c>
      <c r="M353" s="332"/>
      <c r="N353" s="335">
        <f>L353-F353</f>
        <v>8680.1011122369819</v>
      </c>
      <c r="O353" s="332"/>
      <c r="P353" s="1147">
        <f>+Q353/O314</f>
        <v>8.7016222429031356E-2</v>
      </c>
      <c r="Q353" s="335">
        <f>Q314-Q351</f>
        <v>36600.129999999888</v>
      </c>
      <c r="R353" s="332"/>
      <c r="S353" s="335">
        <f>L353-Q353</f>
        <v>15369.010000000111</v>
      </c>
      <c r="T353" s="41"/>
      <c r="U353" s="38"/>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5" t="s">
        <v>343</v>
      </c>
      <c r="E358" s="1226"/>
      <c r="F358" s="1227"/>
      <c r="G358" s="1230"/>
      <c r="H358" s="1226"/>
      <c r="I358" s="1227"/>
      <c r="J358" s="1230" t="s">
        <v>344</v>
      </c>
      <c r="K358" s="1226"/>
      <c r="L358" s="1227"/>
      <c r="M358" s="1230"/>
      <c r="N358" s="1227"/>
      <c r="O358" s="1225" t="s">
        <v>345</v>
      </c>
      <c r="P358" s="1226"/>
      <c r="Q358" s="1227"/>
      <c r="R358" s="1230"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2024'!$A$2:$AO$501,MATCH($A360,'Réel 2024'!$A$2:$A$501,0),MATCH(O$2,'Réel 2024'!$A$2:$AO$2,0))</f>
        <v>0</v>
      </c>
      <c r="P360" s="410">
        <f>IFERROR(Q360/O360,0)</f>
        <v>0</v>
      </c>
      <c r="Q360" s="425">
        <f t="array" ref="Q360">+INDEX('Réel 2024'!$A$2:$AO$501,MATCH($A360,'Réel 2024'!$A$2:$A$501,0),MATCH(Q$2,'Réel 2024'!$A$2:$AO$2,0))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2024'!$A$2:$AO$501,MATCH($A365,'Réel 2024'!$A$2:$A$501,0),MATCH(Q$2,'Réel 2024'!$A$2:$AO$2,0))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2024'!$A$2:$AO$501,MATCH($A366,'Réel 2024'!$A$2:$A$501,0),MATCH(Q$2,'Réel 2024'!$A$2:$AO$2,0))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2024'!$A$2:$AO$501,MATCH($A367,'Réel 2024'!$A$2:$A$501,0),MATCH(Q$2,'Réel 2024'!$A$2:$AO$2,0))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2024'!$A$2:$AO$501,MATCH($A368,'Réel 2024'!$A$2:$A$501,0),MATCH(Q$2,'Réel 2024'!$A$2:$AO$2,0))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2024'!$A$2:$AO$501,MATCH($A369,'Réel 2024'!$A$2:$A$501,0),MATCH(Q$2,'Réel 2024'!$A$2:$AO$2,0))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2024'!$A$2:$AO$501,MATCH($A370,'Réel 2024'!$A$2:$A$501,0),MATCH(Q$2,'Réel 2024'!$A$2:$AO$2,0))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2024'!$A$2:$AO$501,MATCH($A371,'Réel 2024'!$A$2:$A$501,0),MATCH(Q$2,'Réel 2024'!$A$2:$AO$2,0))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2024'!$A$2:$AO$501,MATCH($A372,'Réel 2024'!$A$2:$A$501,0),MATCH(Q$2,'Réel 2024'!$A$2:$AO$2,0))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2024'!$A$2:$AO$501,MATCH($A373,'Réel 2024'!$A$2:$A$501,0),MATCH(Q$2,'Réel 2024'!$A$2:$AO$2,0))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2024'!$A$2:$AO$501,MATCH($A374,'Réel 2024'!$A$2:$A$501,0),MATCH(Q$2,'Réel 2024'!$A$2:$AO$2,0))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2024'!$A$2:$AO$501,MATCH($A375,'Réel 2024'!$A$2:$A$501,0),MATCH(Q$2,'Réel 2024'!$A$2:$AO$2,0))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2024'!$A$2:$AO$501,MATCH($A376,'Réel 2024'!$A$2:$A$501,0),MATCH(Q$2,'Réel 2024'!$A$2:$AO$2,0))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2024'!$A$2:$AO$501,MATCH($A378,'Réel 2024'!$A$2:$A$501,0),MATCH(Q$2,'Réel 2024'!$A$2:$AO$2,0))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2024'!$A$2:$AO$501,MATCH($A379,'Réel 2024'!$A$2:$A$501,0),MATCH(Q$2,'Réel 2024'!$A$2:$AO$2,0))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2024'!$A$2:$AO$501,MATCH($A380,'Réel 2024'!$A$2:$A$501,0),MATCH(Q$2,'Réel 2024'!$A$2:$AO$2,0))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2024'!$A$2:$AO$501,MATCH($A381,'Réel 2024'!$A$2:$A$501,0),MATCH(Q$2,'Réel 2024'!$A$2:$AO$2,0))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2024'!$A$2:$AO$501,MATCH($A382,'Réel 2024'!$A$2:$A$501,0),MATCH(Q$2,'Réel 2024'!$A$2:$AO$2,0))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2024'!$A$2:$AO$501,MATCH($A383,'Réel 2024'!$A$2:$A$501,0),MATCH(Q$2,'Réel 2024'!$A$2:$AO$2,0))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2024'!$A$2:$AO$501,MATCH($A384,'Réel 2024'!$A$2:$A$501,0),MATCH(Q$2,'Réel 2024'!$A$2:$AO$2,0))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2024'!$A$2:$AO$501,MATCH($A385,'Réel 2024'!$A$2:$A$501,0),MATCH(Q$2,'Réel 2024'!$A$2:$AO$2,0))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2024'!$A$2:$AO$501,MATCH($A386,'Réel 2024'!$A$2:$A$501,0),MATCH(Q$2,'Réel 2024'!$A$2:$AO$2,0))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2024'!$A$2:$AO$501,MATCH($A387,'Réel 2024'!$A$2:$A$501,0),MATCH(Q$2,'Réel 2024'!$A$2:$AO$2,0))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2024'!$A$2:$AO$501,MATCH($A388,'Réel 2024'!$A$2:$A$501,0),MATCH(Q$2,'Réel 2024'!$A$2:$AO$2,0))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2024'!$A$2:$AO$501,MATCH($A389,'Réel 2024'!$A$2:$A$501,0),MATCH(Q$2,'Réel 2024'!$A$2:$AO$2,0))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2024'!$A$2:$AO$501,MATCH($A390,'Réel 2024'!$A$2:$A$501,0),MATCH(Q$2,'Réel 2024'!$A$2:$AO$2,0))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2024'!$A$2:$AO$501,MATCH($A391,'Réel 2024'!$A$2:$A$501,0),MATCH(Q$2,'Réel 2024'!$A$2:$AO$2,0))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2024'!$A$2:$AO$501,MATCH($A392,'Réel 2024'!$A$2:$A$501,0),MATCH(Q$2,'Réel 2024'!$A$2:$AO$2,0))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2024'!$A$2:$AO$501,MATCH($A393,'Réel 2024'!$A$2:$A$501,0),MATCH(Q$2,'Réel 2024'!$A$2:$AO$2,0))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2024'!$A$2:$AO$501,MATCH($A394,'Réel 2024'!$A$2:$A$501,0),MATCH(Q$2,'Réel 2024'!$A$2:$AO$2,0))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85684.819957104482</v>
      </c>
      <c r="G400" s="297"/>
      <c r="H400" s="41"/>
      <c r="I400" s="319"/>
      <c r="J400" s="1040"/>
      <c r="K400" s="11"/>
      <c r="L400" s="319">
        <f>L353+L233</f>
        <v>125469.90999999999</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f>F400+F289</f>
        <v>85304.582327584096</v>
      </c>
      <c r="L401" s="1034">
        <f>L400+L289</f>
        <v>126799.50999999998</v>
      </c>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4" t="s">
        <v>600</v>
      </c>
      <c r="Y404" s="1232"/>
      <c r="Z404" s="1235"/>
      <c r="AA404" s="1231"/>
      <c r="AB404" s="1232"/>
      <c r="AC404" s="1235"/>
      <c r="AD404" s="1231" t="s">
        <v>344</v>
      </c>
      <c r="AE404" s="1232"/>
      <c r="AF404" s="1235"/>
      <c r="AG404" s="1231" t="s">
        <v>3310</v>
      </c>
      <c r="AH404" s="1232"/>
      <c r="AI404" s="1235"/>
      <c r="AJ404" s="1231" t="s">
        <v>601</v>
      </c>
      <c r="AK404" s="1232"/>
      <c r="AL404" s="1232"/>
      <c r="AM404" s="1231" t="s">
        <v>602</v>
      </c>
      <c r="AN404" s="1232"/>
      <c r="AO404" s="123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6284852.3733866792</v>
      </c>
      <c r="AA406" s="440"/>
      <c r="AB406" s="440"/>
      <c r="AC406" s="441"/>
      <c r="AD406" s="442"/>
      <c r="AE406" s="443"/>
      <c r="AF406" s="443">
        <f>L5+L93+K194+K250+J314+J362</f>
        <v>6749179.2500000009</v>
      </c>
      <c r="AG406" s="442"/>
      <c r="AH406" s="443"/>
      <c r="AI406" s="444"/>
      <c r="AJ406" s="442"/>
      <c r="AK406" s="443"/>
      <c r="AL406" s="443">
        <f>Q5+Q93+P194+P250+O314+O362</f>
        <v>6651956.52999999</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260">
        <f>Z407/Z406</f>
        <v>0.11414958528676429</v>
      </c>
      <c r="Y407" s="448"/>
      <c r="Z407" s="449">
        <f>F27+F108+F194+F250+F314+F362</f>
        <v>717413.29201062571</v>
      </c>
      <c r="AA407" s="448"/>
      <c r="AB407" s="448"/>
      <c r="AC407" s="449"/>
      <c r="AD407" s="1260">
        <f>AF407/AF406</f>
        <v>0.11520614599175152</v>
      </c>
      <c r="AE407" s="451"/>
      <c r="AF407" s="449">
        <f>L27+L108+L194+L250+L314+L362</f>
        <v>777546.93000000017</v>
      </c>
      <c r="AG407" s="450"/>
      <c r="AH407" s="451">
        <f>AF407-Z407</f>
        <v>60133.63798937446</v>
      </c>
      <c r="AI407" s="452">
        <f>AH407/Z407</f>
        <v>8.382007785337188E-2</v>
      </c>
      <c r="AJ407" s="1260">
        <f>AL407/AL406</f>
        <v>0.10025882715742875</v>
      </c>
      <c r="AK407" s="451"/>
      <c r="AL407" s="451">
        <f>Q27+Q108+Q194+Q250+Q314+Q362</f>
        <v>666917.35999999847</v>
      </c>
      <c r="AM407" s="453"/>
      <c r="AN407" s="451">
        <f>AF407-AL407</f>
        <v>110629.5700000017</v>
      </c>
      <c r="AO407" s="454">
        <f>IF(AL407=0,0,AN407/AL407)</f>
        <v>0.16588197674146907</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682.58990525002469</v>
      </c>
      <c r="Z409" s="457">
        <f t="shared" ref="Z409:Z415" si="75">+SUMIF($C:$C,$V409,F:F)</f>
        <v>70306.760240752541</v>
      </c>
      <c r="AA409" s="456"/>
      <c r="AB409" s="464"/>
      <c r="AC409" s="457"/>
      <c r="AD409" s="465"/>
      <c r="AE409" s="464">
        <f t="shared" ref="AE409:AE414" si="76">IF(AF409=0,0,AF409/(J$13+J$97))</f>
        <v>618.21115384615393</v>
      </c>
      <c r="AF409" s="457">
        <f t="shared" ref="AF409:AF415" si="77">+SUMIF($C:$C,$V409,L:L)</f>
        <v>64293.960000000006</v>
      </c>
      <c r="AG409" s="458">
        <f t="shared" ref="AG409:AG418" si="78">AE409-Y409</f>
        <v>-64.378751403870751</v>
      </c>
      <c r="AH409" s="459">
        <f t="shared" ref="AH409:AH418" si="79">AF409-Z409</f>
        <v>-6012.8002407525346</v>
      </c>
      <c r="AI409" s="460">
        <f t="shared" ref="AI409:AI418" si="80">IF(Z409=0,0,AH409/Z409)</f>
        <v>-8.552236257456336E-2</v>
      </c>
      <c r="AJ409" s="1148">
        <f t="shared" ref="AJ409:AJ415" si="81">AL409/AL$407</f>
        <v>0.10799411489303586</v>
      </c>
      <c r="AK409" s="459">
        <f t="shared" ref="AK409:AK418" si="82">AL409/(O$13+O$97)</f>
        <v>673.11355140186913</v>
      </c>
      <c r="AL409" s="457">
        <f t="shared" ref="AL409:AL414" si="83">+SUMIF($C:$C,$V409,Q:Q)</f>
        <v>72023.149999999994</v>
      </c>
      <c r="AM409" s="461">
        <f t="shared" ref="AM409:AM418" si="84">AE409-Y409</f>
        <v>-64.378751403870751</v>
      </c>
      <c r="AN409" s="459">
        <f t="shared" ref="AN409:AN431" si="85">AF409-AL409</f>
        <v>-7729.1899999999878</v>
      </c>
      <c r="AO409" s="466">
        <f t="shared" ref="AO409:AO431" si="86">IF(AL409=0,0,AN409/AL409)</f>
        <v>-0.10731535624309668</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386.60194174757282</v>
      </c>
      <c r="Z410" s="441">
        <f t="shared" si="75"/>
        <v>39820</v>
      </c>
      <c r="AA410" s="440"/>
      <c r="AB410" s="468"/>
      <c r="AC410" s="441"/>
      <c r="AD410" s="469"/>
      <c r="AE410" s="468">
        <f t="shared" si="76"/>
        <v>387.65269230769235</v>
      </c>
      <c r="AF410" s="441">
        <f t="shared" si="77"/>
        <v>40315.880000000005</v>
      </c>
      <c r="AG410" s="442">
        <f t="shared" si="78"/>
        <v>1.0507505601195248</v>
      </c>
      <c r="AH410" s="443">
        <f t="shared" si="79"/>
        <v>495.88000000000466</v>
      </c>
      <c r="AI410" s="470">
        <f t="shared" si="80"/>
        <v>1.2453038674033266E-2</v>
      </c>
      <c r="AJ410" s="1149">
        <f t="shared" si="81"/>
        <v>5.0671180609243825E-2</v>
      </c>
      <c r="AK410" s="443">
        <f t="shared" si="82"/>
        <v>315.82700934579447</v>
      </c>
      <c r="AL410" s="441">
        <f t="shared" si="83"/>
        <v>33793.490000000005</v>
      </c>
      <c r="AM410" s="445">
        <f t="shared" si="84"/>
        <v>1.0507505601195248</v>
      </c>
      <c r="AN410" s="443">
        <f t="shared" si="85"/>
        <v>6522.3899999999994</v>
      </c>
      <c r="AO410" s="446">
        <f t="shared" si="86"/>
        <v>0.19300729223291227</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84.145631067961162</v>
      </c>
      <c r="Z411" s="457">
        <f t="shared" si="75"/>
        <v>8667</v>
      </c>
      <c r="AA411" s="456"/>
      <c r="AB411" s="464"/>
      <c r="AC411" s="457"/>
      <c r="AD411" s="465"/>
      <c r="AE411" s="464">
        <f t="shared" si="76"/>
        <v>70.834134615384613</v>
      </c>
      <c r="AF411" s="457">
        <f t="shared" si="77"/>
        <v>7366.75</v>
      </c>
      <c r="AG411" s="458">
        <f t="shared" si="78"/>
        <v>-13.311496452576549</v>
      </c>
      <c r="AH411" s="459">
        <f t="shared" si="79"/>
        <v>-1300.25</v>
      </c>
      <c r="AI411" s="460">
        <f t="shared" si="80"/>
        <v>-0.15002307603553711</v>
      </c>
      <c r="AJ411" s="1148">
        <f t="shared" si="81"/>
        <v>9.4756117909421556E-3</v>
      </c>
      <c r="AK411" s="459">
        <f t="shared" si="82"/>
        <v>59.060280373831773</v>
      </c>
      <c r="AL411" s="457">
        <f t="shared" si="83"/>
        <v>6319.45</v>
      </c>
      <c r="AM411" s="461">
        <f t="shared" si="84"/>
        <v>-13.311496452576549</v>
      </c>
      <c r="AN411" s="459">
        <f t="shared" si="85"/>
        <v>1047.3000000000002</v>
      </c>
      <c r="AO411" s="466">
        <f t="shared" si="86"/>
        <v>0.16572644771301304</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21.941747572815533</v>
      </c>
      <c r="Z412" s="457">
        <f t="shared" si="75"/>
        <v>2260</v>
      </c>
      <c r="AA412" s="456"/>
      <c r="AB412" s="464"/>
      <c r="AC412" s="457"/>
      <c r="AD412" s="465"/>
      <c r="AE412" s="464">
        <f t="shared" si="76"/>
        <v>47.918942307692305</v>
      </c>
      <c r="AF412" s="457">
        <f t="shared" si="77"/>
        <v>4983.57</v>
      </c>
      <c r="AG412" s="458">
        <f t="shared" si="78"/>
        <v>25.977194734876772</v>
      </c>
      <c r="AH412" s="459">
        <f t="shared" si="79"/>
        <v>2723.5699999999997</v>
      </c>
      <c r="AI412" s="460">
        <f t="shared" si="80"/>
        <v>1.2051194690265485</v>
      </c>
      <c r="AJ412" s="1148">
        <f t="shared" si="81"/>
        <v>7.944552530466463E-3</v>
      </c>
      <c r="AK412" s="459">
        <f t="shared" si="82"/>
        <v>49.517383177570096</v>
      </c>
      <c r="AL412" s="457">
        <f t="shared" si="83"/>
        <v>5298.3600000000006</v>
      </c>
      <c r="AM412" s="461">
        <f t="shared" si="84"/>
        <v>25.977194734876772</v>
      </c>
      <c r="AN412" s="459">
        <f t="shared" si="85"/>
        <v>-314.79000000000087</v>
      </c>
      <c r="AO412" s="466">
        <f t="shared" si="86"/>
        <v>-5.941272393721847E-2</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138.39563106796118</v>
      </c>
      <c r="Z413" s="441">
        <f t="shared" si="75"/>
        <v>14254.75</v>
      </c>
      <c r="AA413" s="440"/>
      <c r="AB413" s="468"/>
      <c r="AC413" s="441"/>
      <c r="AD413" s="469"/>
      <c r="AE413" s="468">
        <f t="shared" si="76"/>
        <v>70.472980769230773</v>
      </c>
      <c r="AF413" s="441">
        <f t="shared" si="77"/>
        <v>7329.1900000000005</v>
      </c>
      <c r="AG413" s="442">
        <f t="shared" si="78"/>
        <v>-67.922650298730403</v>
      </c>
      <c r="AH413" s="443">
        <f t="shared" si="79"/>
        <v>-6925.5599999999995</v>
      </c>
      <c r="AI413" s="470">
        <f t="shared" si="80"/>
        <v>-0.48584226310528067</v>
      </c>
      <c r="AJ413" s="1149">
        <f t="shared" si="81"/>
        <v>1.6722611629123019E-2</v>
      </c>
      <c r="AK413" s="443">
        <f t="shared" si="82"/>
        <v>104.22990654205606</v>
      </c>
      <c r="AL413" s="441">
        <f t="shared" si="83"/>
        <v>11152.599999999999</v>
      </c>
      <c r="AM413" s="445">
        <f t="shared" si="84"/>
        <v>-67.922650298730403</v>
      </c>
      <c r="AN413" s="443">
        <f t="shared" si="85"/>
        <v>-3823.409999999998</v>
      </c>
      <c r="AO413" s="446">
        <f t="shared" si="86"/>
        <v>-0.34282678478561041</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155.76699029126215</v>
      </c>
      <c r="Z414" s="457">
        <f t="shared" si="75"/>
        <v>16044</v>
      </c>
      <c r="AA414" s="460"/>
      <c r="AB414" s="464"/>
      <c r="AC414" s="457"/>
      <c r="AD414" s="465"/>
      <c r="AE414" s="464">
        <f t="shared" si="76"/>
        <v>123.73134615384616</v>
      </c>
      <c r="AF414" s="457">
        <f t="shared" si="77"/>
        <v>12868.060000000001</v>
      </c>
      <c r="AG414" s="458">
        <f t="shared" si="78"/>
        <v>-32.035644137415986</v>
      </c>
      <c r="AH414" s="459">
        <f t="shared" si="79"/>
        <v>-3175.9399999999987</v>
      </c>
      <c r="AI414" s="460">
        <f t="shared" si="80"/>
        <v>-0.19795188232361</v>
      </c>
      <c r="AJ414" s="1148">
        <f t="shared" si="81"/>
        <v>2.3571751078724411E-2</v>
      </c>
      <c r="AK414" s="459">
        <f t="shared" si="82"/>
        <v>146.91971962616822</v>
      </c>
      <c r="AL414" s="457">
        <f t="shared" si="83"/>
        <v>15720.41</v>
      </c>
      <c r="AM414" s="461">
        <f t="shared" si="84"/>
        <v>-32.035644137415986</v>
      </c>
      <c r="AN414" s="459">
        <f t="shared" si="85"/>
        <v>-2852.3499999999985</v>
      </c>
      <c r="AO414" s="466">
        <f t="shared" si="86"/>
        <v>-0.18144246873968289</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467.21290012432121</v>
      </c>
      <c r="Z415" s="457">
        <f t="shared" si="75"/>
        <v>48122.928712805086</v>
      </c>
      <c r="AA415" s="456"/>
      <c r="AB415" s="464"/>
      <c r="AC415" s="457"/>
      <c r="AD415" s="465"/>
      <c r="AE415" s="464">
        <f t="shared" ref="AE415:AE418" si="87">IF(AF415=0,0,AF415/(J$13+J$13))</f>
        <v>172.42861842105265</v>
      </c>
      <c r="AF415" s="958">
        <f t="shared" si="77"/>
        <v>26209.15</v>
      </c>
      <c r="AG415" s="1016">
        <f t="shared" si="78"/>
        <v>-294.78428170326856</v>
      </c>
      <c r="AH415" s="962">
        <f t="shared" si="79"/>
        <v>-21913.778712805084</v>
      </c>
      <c r="AI415" s="460">
        <f t="shared" si="80"/>
        <v>-0.45537084502037012</v>
      </c>
      <c r="AJ415" s="1148">
        <f t="shared" si="81"/>
        <v>7.3520053519074854E-2</v>
      </c>
      <c r="AK415" s="459">
        <f t="shared" si="82"/>
        <v>458.24112149532704</v>
      </c>
      <c r="AL415" s="457">
        <f>IFERROR(SUMIF($C:$C,$V415,Q:Q),0)</f>
        <v>49031.799999999996</v>
      </c>
      <c r="AM415" s="461">
        <f t="shared" si="84"/>
        <v>-294.78428170326856</v>
      </c>
      <c r="AN415" s="459">
        <f t="shared" si="85"/>
        <v>-22822.649999999994</v>
      </c>
      <c r="AO415" s="466">
        <f t="shared" si="86"/>
        <v>-0.46546628922454397</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0.27804815045244963</v>
      </c>
      <c r="Y419" s="472"/>
      <c r="Z419" s="474">
        <f>SUM(Z409:Z418)</f>
        <v>199475.43895355763</v>
      </c>
      <c r="AA419" s="473"/>
      <c r="AB419" s="472"/>
      <c r="AC419" s="474"/>
      <c r="AD419" s="475">
        <f>AF419/AF407</f>
        <v>0.21010508008822049</v>
      </c>
      <c r="AE419" s="472"/>
      <c r="AF419" s="474">
        <f>SUM(AF409:AF418)</f>
        <v>163366.56</v>
      </c>
      <c r="AG419" s="476"/>
      <c r="AH419" s="477">
        <f t="shared" ref="AH419:AH451" si="88">AF419-Z419</f>
        <v>-36108.878953557636</v>
      </c>
      <c r="AI419" s="473">
        <f>AH419/Z419</f>
        <v>-0.18101917280134219</v>
      </c>
      <c r="AJ419" s="475">
        <f>IF($AL$407=0,0,AL419/$AL$407)</f>
        <v>0.28989987605061057</v>
      </c>
      <c r="AK419" s="472"/>
      <c r="AL419" s="474">
        <f>SUM(AL409:AL418)</f>
        <v>193339.25999999998</v>
      </c>
      <c r="AM419" s="478"/>
      <c r="AN419" s="477">
        <f t="shared" si="85"/>
        <v>-29972.699999999983</v>
      </c>
      <c r="AO419" s="454">
        <f t="shared" si="86"/>
        <v>-0.15502645453385921</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14451.14423076923</v>
      </c>
      <c r="AA420" s="456"/>
      <c r="AB420" s="456"/>
      <c r="AC420" s="457"/>
      <c r="AD420" s="465"/>
      <c r="AE420" s="464"/>
      <c r="AF420" s="457">
        <f>SUMIFS(BV_Data_An_Cour!$O:$O,BV_Data_An_Cour!$V:$V,$V420)</f>
        <v>12528.259999999998</v>
      </c>
      <c r="AG420" s="458"/>
      <c r="AH420" s="459">
        <f t="shared" si="88"/>
        <v>-1922.8842307692321</v>
      </c>
      <c r="AI420" s="460">
        <f t="shared" ref="AI420:AI432" si="89">IF(Z420=0,0,AH420/Z420)</f>
        <v>-0.13306103655619508</v>
      </c>
      <c r="AJ420" s="465"/>
      <c r="AK420" s="456"/>
      <c r="AL420" s="457">
        <f>+INDEX('Réel 2024'!$A$2:$AO$501,MATCH($A420,'Réel 2024'!$A$2:$A$501,0),MATCH(F$2,'Réel 2024'!$A$2:$AO$2,0))</f>
        <v>15663.77</v>
      </c>
      <c r="AM420" s="461"/>
      <c r="AN420" s="459">
        <f t="shared" si="85"/>
        <v>-3135.510000000002</v>
      </c>
      <c r="AO420" s="466">
        <f t="shared" si="86"/>
        <v>-0.200175947425173</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56603.570512820515</v>
      </c>
      <c r="AA421" s="456"/>
      <c r="AB421" s="456"/>
      <c r="AC421" s="457"/>
      <c r="AD421" s="465"/>
      <c r="AE421" s="464"/>
      <c r="AF421" s="457">
        <f>+SUMIF($C:$C,$V421,L:L)</f>
        <v>56644.17</v>
      </c>
      <c r="AG421" s="458"/>
      <c r="AH421" s="459">
        <f t="shared" si="88"/>
        <v>40.599487179482821</v>
      </c>
      <c r="AI421" s="460">
        <f t="shared" si="89"/>
        <v>7.1726018008505619E-4</v>
      </c>
      <c r="AJ421" s="465"/>
      <c r="AK421" s="456"/>
      <c r="AL421" s="457">
        <f t="shared" ref="AL421:AL429" si="91">+SUMIF($C:$C,$V421,Q:Q)</f>
        <v>49132.22</v>
      </c>
      <c r="AM421" s="461"/>
      <c r="AN421" s="459">
        <f t="shared" si="85"/>
        <v>7511.9499999999971</v>
      </c>
      <c r="AO421" s="466">
        <f t="shared" si="86"/>
        <v>0.15289254179843689</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62004.212615384618</v>
      </c>
      <c r="AA422" s="440"/>
      <c r="AB422" s="440"/>
      <c r="AC422" s="441"/>
      <c r="AD422" s="469"/>
      <c r="AE422" s="468"/>
      <c r="AF422" s="441">
        <f>+SUMIF($C:$C,$V422,L:L)</f>
        <v>46191.1</v>
      </c>
      <c r="AG422" s="442"/>
      <c r="AH422" s="443">
        <f t="shared" si="88"/>
        <v>-15813.11261538462</v>
      </c>
      <c r="AI422" s="470">
        <f t="shared" si="89"/>
        <v>-0.25503287516082473</v>
      </c>
      <c r="AJ422" s="469"/>
      <c r="AK422" s="440"/>
      <c r="AL422" s="441">
        <f t="shared" si="91"/>
        <v>43942.53</v>
      </c>
      <c r="AM422" s="445"/>
      <c r="AN422" s="443">
        <f t="shared" si="85"/>
        <v>2248.5699999999997</v>
      </c>
      <c r="AO422" s="446">
        <f t="shared" si="86"/>
        <v>5.1170699547795719E-2</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19486</v>
      </c>
      <c r="AA423" s="456"/>
      <c r="AB423" s="456"/>
      <c r="AC423" s="457"/>
      <c r="AD423" s="465"/>
      <c r="AE423" s="464"/>
      <c r="AF423" s="457">
        <f>+SUMIF($C:$C,$V423,L:L)</f>
        <v>21825.15</v>
      </c>
      <c r="AG423" s="458"/>
      <c r="AH423" s="459">
        <f t="shared" si="88"/>
        <v>2339.1500000000015</v>
      </c>
      <c r="AI423" s="460">
        <f t="shared" si="89"/>
        <v>0.12004259468336249</v>
      </c>
      <c r="AJ423" s="465"/>
      <c r="AK423" s="456"/>
      <c r="AL423" s="457">
        <f t="shared" si="91"/>
        <v>21717.47</v>
      </c>
      <c r="AM423" s="461"/>
      <c r="AN423" s="459">
        <f t="shared" si="85"/>
        <v>107.68000000000029</v>
      </c>
      <c r="AO423" s="466">
        <f t="shared" si="86"/>
        <v>4.9582202715141447E-3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26685.668886153846</v>
      </c>
      <c r="AA424" s="456"/>
      <c r="AB424" s="456"/>
      <c r="AC424" s="457"/>
      <c r="AD424" s="465"/>
      <c r="AE424" s="464"/>
      <c r="AF424" s="457">
        <f>+SUMIF($C:$C,$V424,L:L)</f>
        <v>23437.83</v>
      </c>
      <c r="AG424" s="458"/>
      <c r="AH424" s="459">
        <f t="shared" si="88"/>
        <v>-3247.8388861538442</v>
      </c>
      <c r="AI424" s="460">
        <f t="shared" si="89"/>
        <v>-0.12170723169839753</v>
      </c>
      <c r="AJ424" s="465"/>
      <c r="AK424" s="456"/>
      <c r="AL424" s="457">
        <f t="shared" si="91"/>
        <v>25122.77</v>
      </c>
      <c r="AM424" s="461"/>
      <c r="AN424" s="459">
        <f t="shared" si="85"/>
        <v>-1684.9399999999987</v>
      </c>
      <c r="AO424" s="466">
        <f t="shared" si="86"/>
        <v>-6.7068241280718588E-2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0">
        <f>Z428/(SUM(Z420:Z424)+E194-F194+Z409+Z410)</f>
        <v>0.10593139520165165</v>
      </c>
      <c r="Z428" s="441">
        <f t="shared" si="90"/>
        <v>40379.47450759507</v>
      </c>
      <c r="AA428" s="440"/>
      <c r="AB428" s="440"/>
      <c r="AC428" s="441"/>
      <c r="AD428" s="469"/>
      <c r="AE428" s="468"/>
      <c r="AF428" s="441">
        <f>+SUMIF($C:$C,$V428,L:L)</f>
        <v>38586.630000000005</v>
      </c>
      <c r="AG428" s="442"/>
      <c r="AH428" s="443">
        <f t="shared" si="88"/>
        <v>-1792.8445075950658</v>
      </c>
      <c r="AI428" s="470">
        <f t="shared" si="89"/>
        <v>-4.4399896963935113E-2</v>
      </c>
      <c r="AJ428" s="469"/>
      <c r="AK428" s="440"/>
      <c r="AL428" s="441">
        <f t="shared" si="91"/>
        <v>37441.89</v>
      </c>
      <c r="AM428" s="445"/>
      <c r="AN428" s="443">
        <f t="shared" si="85"/>
        <v>1144.7400000000052</v>
      </c>
      <c r="AO428" s="446">
        <f t="shared" si="86"/>
        <v>3.0573777125033091E-2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1">
        <f>Z429/(SUM(Z420:Z424)+E194-F194+Z409+Z410)</f>
        <v>0.12879764350509187</v>
      </c>
      <c r="Z429" s="457">
        <f t="shared" si="90"/>
        <v>49095.74874051207</v>
      </c>
      <c r="AA429" s="456"/>
      <c r="AB429" s="456"/>
      <c r="AC429" s="457"/>
      <c r="AD429" s="465"/>
      <c r="AE429" s="464"/>
      <c r="AF429" s="457">
        <f>+SUMIF($C:$C,$V429,L:L)</f>
        <v>49865.349999999991</v>
      </c>
      <c r="AG429" s="458"/>
      <c r="AH429" s="459">
        <f t="shared" si="88"/>
        <v>769.6012594879212</v>
      </c>
      <c r="AI429" s="460">
        <f t="shared" si="89"/>
        <v>1.5675517315267534E-2</v>
      </c>
      <c r="AJ429" s="465"/>
      <c r="AK429" s="456"/>
      <c r="AL429" s="457">
        <f t="shared" si="91"/>
        <v>45241.369999999995</v>
      </c>
      <c r="AM429" s="461"/>
      <c r="AN429" s="459">
        <f t="shared" si="85"/>
        <v>4623.9799999999959</v>
      </c>
      <c r="AO429" s="466">
        <f t="shared" si="86"/>
        <v>0.10220689603343126</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1">
        <f>Z430/(SUM(Z420:Z424)+E194-F194+Z410+Z409)</f>
        <v>6.6358785892840819E-2</v>
      </c>
      <c r="Z430" s="457">
        <f t="shared" si="90"/>
        <v>25294.983590220349</v>
      </c>
      <c r="AA430" s="456"/>
      <c r="AB430" s="456"/>
      <c r="AC430" s="457"/>
      <c r="AD430" s="465"/>
      <c r="AE430" s="464"/>
      <c r="AF430" s="457">
        <f>+SUMIF($C:$C,$V430,L:L)</f>
        <v>21157.86</v>
      </c>
      <c r="AG430" s="458"/>
      <c r="AH430" s="459">
        <f t="shared" si="88"/>
        <v>-4137.123590220348</v>
      </c>
      <c r="AI430" s="460">
        <f t="shared" si="89"/>
        <v>-0.16355510077578622</v>
      </c>
      <c r="AJ430" s="465"/>
      <c r="AK430" s="456"/>
      <c r="AL430" s="457">
        <f>IFERROR(SUMIF($C:$C,$V430,Q:Q),0)</f>
        <v>20772.920000000002</v>
      </c>
      <c r="AM430" s="461"/>
      <c r="AN430" s="459">
        <f t="shared" si="85"/>
        <v>384.93999999999869</v>
      </c>
      <c r="AO430" s="466">
        <f t="shared" si="86"/>
        <v>1.8530856518967898E-2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11028.755151854159</v>
      </c>
      <c r="AA431" s="456"/>
      <c r="AB431" s="456"/>
      <c r="AC431" s="457"/>
      <c r="AD431" s="465"/>
      <c r="AE431" s="464"/>
      <c r="AF431" s="457">
        <f>+SUMIF($C:$C,$V431,L:L)</f>
        <v>10128.049999999999</v>
      </c>
      <c r="AG431" s="458"/>
      <c r="AH431" s="459">
        <f t="shared" si="88"/>
        <v>-900.70515185415934</v>
      </c>
      <c r="AI431" s="479">
        <f t="shared" si="89"/>
        <v>-8.1668795748242942E-2</v>
      </c>
      <c r="AJ431" s="465"/>
      <c r="AK431" s="456"/>
      <c r="AL431" s="457">
        <f>IFERROR(SUMIF($C:$C,$V431,Q:Q),0)</f>
        <v>7524.12</v>
      </c>
      <c r="AM431" s="461"/>
      <c r="AN431" s="459">
        <f t="shared" si="85"/>
        <v>2603.9299999999994</v>
      </c>
      <c r="AO431" s="466">
        <f t="shared" si="86"/>
        <v>0.34607768084506885</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0.42517968600837125</v>
      </c>
      <c r="Y433" s="472"/>
      <c r="Z433" s="474">
        <f>SUM(Z420:Z432)</f>
        <v>305029.55823530979</v>
      </c>
      <c r="AA433" s="473"/>
      <c r="AB433" s="472"/>
      <c r="AC433" s="474"/>
      <c r="AD433" s="475">
        <f>AF433/AF407</f>
        <v>0.36057553464972192</v>
      </c>
      <c r="AE433" s="480"/>
      <c r="AF433" s="474">
        <f>SUM(AF420:AF432)</f>
        <v>280364.39999999997</v>
      </c>
      <c r="AG433" s="476"/>
      <c r="AH433" s="477">
        <f t="shared" si="88"/>
        <v>-24665.15823530982</v>
      </c>
      <c r="AI433" s="473">
        <f>AH433/Z433</f>
        <v>-8.0861534790285169E-2</v>
      </c>
      <c r="AJ433" s="475">
        <f>IF($AL$407=0,0,AL433/$AL$407)</f>
        <v>0.39968829121497251</v>
      </c>
      <c r="AK433" s="472"/>
      <c r="AL433" s="474">
        <f>SUM(AL420:AL432)</f>
        <v>266559.06000000006</v>
      </c>
      <c r="AM433" s="482"/>
      <c r="AN433" s="477">
        <f t="shared" ref="AN433:AN451" si="92">AF433-AL433</f>
        <v>13805.339999999909</v>
      </c>
      <c r="AO433" s="454">
        <f t="shared" ref="AO433:AO461" si="93">IF(AL433=0,0,AN433/AL433)</f>
        <v>5.1790923932579544E-2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12192.953081014641</v>
      </c>
      <c r="AA434" s="484"/>
      <c r="AB434" s="484"/>
      <c r="AC434" s="485"/>
      <c r="AD434" s="486"/>
      <c r="AE434" s="487"/>
      <c r="AF434" s="485">
        <f t="shared" ref="AF434:AF448" si="95">+SUMIF($C:$C,$V434,L:L)</f>
        <v>14038.38</v>
      </c>
      <c r="AG434" s="486"/>
      <c r="AH434" s="488">
        <f t="shared" si="88"/>
        <v>1845.4269189853585</v>
      </c>
      <c r="AI434" s="489">
        <f t="shared" ref="AI434:AI451" si="96">IF(Z434=0,0,AH434/Z434)</f>
        <v>0.15135192489658877</v>
      </c>
      <c r="AJ434" s="486"/>
      <c r="AK434" s="484"/>
      <c r="AL434" s="485">
        <f t="shared" ref="AL434:AL448" si="97">+SUMIF($C:$C,$V434,Q:Q)</f>
        <v>13920.66</v>
      </c>
      <c r="AM434" s="490"/>
      <c r="AN434" s="488">
        <f t="shared" si="92"/>
        <v>117.71999999999935</v>
      </c>
      <c r="AO434" s="462">
        <f t="shared" si="93"/>
        <v>8.4564955971914661E-3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4545.3811628057083</v>
      </c>
      <c r="AA435" s="456"/>
      <c r="AB435" s="456"/>
      <c r="AC435" s="457"/>
      <c r="AD435" s="465"/>
      <c r="AE435" s="464"/>
      <c r="AF435" s="457">
        <f t="shared" si="95"/>
        <v>1819.6599999999999</v>
      </c>
      <c r="AG435" s="458"/>
      <c r="AH435" s="459">
        <f t="shared" si="88"/>
        <v>-2725.7211628057084</v>
      </c>
      <c r="AI435" s="460">
        <f t="shared" si="96"/>
        <v>-0.59966833697247379</v>
      </c>
      <c r="AJ435" s="465"/>
      <c r="AK435" s="456"/>
      <c r="AL435" s="457">
        <f t="shared" si="97"/>
        <v>6479.70999999999</v>
      </c>
      <c r="AM435" s="461"/>
      <c r="AN435" s="459">
        <f t="shared" si="92"/>
        <v>-4660.0499999999902</v>
      </c>
      <c r="AO435" s="466">
        <f t="shared" si="93"/>
        <v>-0.71917570385094354</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22709.26466666667</v>
      </c>
      <c r="AA436" s="440"/>
      <c r="AB436" s="440"/>
      <c r="AC436" s="441"/>
      <c r="AD436" s="469"/>
      <c r="AE436" s="468"/>
      <c r="AF436" s="441">
        <f t="shared" si="95"/>
        <v>23078.729999999996</v>
      </c>
      <c r="AG436" s="442"/>
      <c r="AH436" s="443">
        <f t="shared" si="88"/>
        <v>369.46533333332627</v>
      </c>
      <c r="AI436" s="470">
        <f t="shared" si="96"/>
        <v>1.6269365774561534E-2</v>
      </c>
      <c r="AJ436" s="469"/>
      <c r="AK436" s="440"/>
      <c r="AL436" s="441">
        <f t="shared" si="97"/>
        <v>26599.97</v>
      </c>
      <c r="AM436" s="445"/>
      <c r="AN436" s="443">
        <f t="shared" si="92"/>
        <v>-3521.2400000000052</v>
      </c>
      <c r="AO436" s="446">
        <f t="shared" si="93"/>
        <v>-0.13237759290705986</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22402.080143777777</v>
      </c>
      <c r="AA437" s="456"/>
      <c r="AB437" s="456"/>
      <c r="AC437" s="457"/>
      <c r="AD437" s="465"/>
      <c r="AE437" s="464"/>
      <c r="AF437" s="457">
        <f t="shared" si="95"/>
        <v>24085.59</v>
      </c>
      <c r="AG437" s="458"/>
      <c r="AH437" s="1152">
        <f t="shared" si="88"/>
        <v>1683.5098562222229</v>
      </c>
      <c r="AI437" s="460">
        <f t="shared" si="96"/>
        <v>7.5149711340079334E-2</v>
      </c>
      <c r="AJ437" s="465"/>
      <c r="AK437" s="456"/>
      <c r="AL437" s="457">
        <f t="shared" si="97"/>
        <v>17673.09</v>
      </c>
      <c r="AM437" s="461"/>
      <c r="AN437" s="459">
        <f t="shared" si="92"/>
        <v>6412.5</v>
      </c>
      <c r="AO437" s="466">
        <f t="shared" si="93"/>
        <v>0.36283977504782694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3905.5576324861113</v>
      </c>
      <c r="AA438" s="456"/>
      <c r="AB438" s="456"/>
      <c r="AC438" s="457"/>
      <c r="AD438" s="465"/>
      <c r="AE438" s="464"/>
      <c r="AF438" s="457">
        <f t="shared" si="95"/>
        <v>3092.1</v>
      </c>
      <c r="AG438" s="458"/>
      <c r="AH438" s="459">
        <f t="shared" si="88"/>
        <v>-813.45763248611138</v>
      </c>
      <c r="AI438" s="460">
        <f t="shared" si="96"/>
        <v>-0.20828207109782143</v>
      </c>
      <c r="AJ438" s="465"/>
      <c r="AK438" s="456"/>
      <c r="AL438" s="457">
        <f t="shared" si="97"/>
        <v>5104.3599999999997</v>
      </c>
      <c r="AM438" s="461"/>
      <c r="AN438" s="459">
        <f t="shared" si="92"/>
        <v>-2012.2599999999998</v>
      </c>
      <c r="AO438" s="466">
        <f t="shared" si="93"/>
        <v>-0.39422376164690576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32918.054597609284</v>
      </c>
      <c r="AA439" s="456"/>
      <c r="AB439" s="456"/>
      <c r="AC439" s="457"/>
      <c r="AD439" s="465"/>
      <c r="AE439" s="464"/>
      <c r="AF439" s="457">
        <f t="shared" si="95"/>
        <v>44790.42</v>
      </c>
      <c r="AG439" s="458"/>
      <c r="AH439" s="459">
        <f t="shared" si="88"/>
        <v>11872.365402390715</v>
      </c>
      <c r="AI439" s="460">
        <f t="shared" si="96"/>
        <v>0.36066424785785978</v>
      </c>
      <c r="AJ439" s="465"/>
      <c r="AK439" s="456"/>
      <c r="AL439" s="457">
        <f t="shared" si="97"/>
        <v>31737.460000000003</v>
      </c>
      <c r="AM439" s="461"/>
      <c r="AN439" s="459">
        <f t="shared" si="92"/>
        <v>13052.959999999995</v>
      </c>
      <c r="AO439" s="466">
        <f t="shared" si="93"/>
        <v>0.41127928952096338</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5252.6901555555569</v>
      </c>
      <c r="AA441" s="456"/>
      <c r="AB441" s="464"/>
      <c r="AC441" s="457"/>
      <c r="AD441" s="465"/>
      <c r="AE441" s="464"/>
      <c r="AF441" s="457">
        <f t="shared" si="95"/>
        <v>3095.58</v>
      </c>
      <c r="AG441" s="458"/>
      <c r="AH441" s="459">
        <f t="shared" si="88"/>
        <v>-2157.110155555557</v>
      </c>
      <c r="AI441" s="460">
        <f t="shared" si="96"/>
        <v>-0.41066769439542694</v>
      </c>
      <c r="AJ441" s="465"/>
      <c r="AK441" s="456"/>
      <c r="AL441" s="457">
        <f t="shared" si="97"/>
        <v>3621.82</v>
      </c>
      <c r="AM441" s="461"/>
      <c r="AN441" s="459">
        <f t="shared" si="92"/>
        <v>-526.24000000000024</v>
      </c>
      <c r="AO441" s="466">
        <f t="shared" si="93"/>
        <v>-0.14529711581470095</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1333.7987401197504</v>
      </c>
      <c r="AA442" s="456"/>
      <c r="AB442" s="456"/>
      <c r="AC442" s="457"/>
      <c r="AD442" s="465"/>
      <c r="AE442" s="464"/>
      <c r="AF442" s="457">
        <f t="shared" si="95"/>
        <v>699.73</v>
      </c>
      <c r="AG442" s="458"/>
      <c r="AH442" s="459">
        <f t="shared" si="88"/>
        <v>-634.06874011975037</v>
      </c>
      <c r="AI442" s="479">
        <f t="shared" si="96"/>
        <v>-0.47538561931976542</v>
      </c>
      <c r="AJ442" s="465"/>
      <c r="AK442" s="456"/>
      <c r="AL442" s="457">
        <f t="shared" si="97"/>
        <v>1654</v>
      </c>
      <c r="AM442" s="461"/>
      <c r="AN442" s="459">
        <f t="shared" si="92"/>
        <v>-954.27</v>
      </c>
      <c r="AO442" s="466">
        <f t="shared" si="93"/>
        <v>-0.57694679564691653</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2760.7503854659999</v>
      </c>
      <c r="AA443" s="456"/>
      <c r="AB443" s="456"/>
      <c r="AC443" s="457"/>
      <c r="AD443" s="465"/>
      <c r="AE443" s="464"/>
      <c r="AF443" s="457">
        <f t="shared" si="95"/>
        <v>4141.9799999999996</v>
      </c>
      <c r="AG443" s="458"/>
      <c r="AH443" s="459">
        <f t="shared" si="88"/>
        <v>1381.2296145339997</v>
      </c>
      <c r="AI443" s="460">
        <f t="shared" si="96"/>
        <v>0.50030948897281613</v>
      </c>
      <c r="AJ443" s="465"/>
      <c r="AK443" s="456"/>
      <c r="AL443" s="457">
        <f t="shared" si="97"/>
        <v>1541.9599999999998</v>
      </c>
      <c r="AM443" s="461"/>
      <c r="AN443" s="459">
        <f t="shared" si="92"/>
        <v>2600.0199999999995</v>
      </c>
      <c r="AO443" s="466">
        <f t="shared" si="93"/>
        <v>1.6861786297958441</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734.68076036869445</v>
      </c>
      <c r="AA444" s="456"/>
      <c r="AB444" s="456"/>
      <c r="AC444" s="457"/>
      <c r="AD444" s="465"/>
      <c r="AE444" s="464"/>
      <c r="AF444" s="457">
        <f t="shared" si="95"/>
        <v>662.9</v>
      </c>
      <c r="AG444" s="458"/>
      <c r="AH444" s="459">
        <f t="shared" si="88"/>
        <v>-71.780760368694473</v>
      </c>
      <c r="AI444" s="479">
        <f t="shared" si="96"/>
        <v>-9.7703334891568142E-2</v>
      </c>
      <c r="AJ444" s="465"/>
      <c r="AK444" s="456"/>
      <c r="AL444" s="457">
        <f t="shared" si="97"/>
        <v>623.20000000000005</v>
      </c>
      <c r="AM444" s="461"/>
      <c r="AN444" s="459">
        <f t="shared" si="92"/>
        <v>39.699999999999932</v>
      </c>
      <c r="AO444" s="466">
        <f t="shared" si="93"/>
        <v>6.3703465982028126E-2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235.21156215130546</v>
      </c>
      <c r="AA445" s="456"/>
      <c r="AB445" s="456"/>
      <c r="AC445" s="457"/>
      <c r="AD445" s="465"/>
      <c r="AE445" s="464"/>
      <c r="AF445" s="457">
        <f t="shared" si="95"/>
        <v>-207.98999999999998</v>
      </c>
      <c r="AG445" s="458"/>
      <c r="AH445" s="459">
        <f t="shared" si="88"/>
        <v>-443.20156215130544</v>
      </c>
      <c r="AI445" s="460">
        <f t="shared" si="96"/>
        <v>-1.8842677549422737</v>
      </c>
      <c r="AJ445" s="465"/>
      <c r="AK445" s="456"/>
      <c r="AL445" s="457">
        <f t="shared" si="97"/>
        <v>102.99999999999999</v>
      </c>
      <c r="AM445" s="461"/>
      <c r="AN445" s="459">
        <f t="shared" si="92"/>
        <v>-310.98999999999995</v>
      </c>
      <c r="AO445" s="466">
        <f t="shared" si="93"/>
        <v>-3.0193203883495143</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720.38919864980562</v>
      </c>
      <c r="AA446" s="456"/>
      <c r="AB446" s="464"/>
      <c r="AC446" s="457"/>
      <c r="AD446" s="465"/>
      <c r="AE446" s="464"/>
      <c r="AF446" s="457">
        <f t="shared" si="95"/>
        <v>196</v>
      </c>
      <c r="AG446" s="458"/>
      <c r="AH446" s="459">
        <f t="shared" si="88"/>
        <v>-524.38919864980562</v>
      </c>
      <c r="AI446" s="479">
        <f t="shared" si="96"/>
        <v>-0.72792484900196397</v>
      </c>
      <c r="AJ446" s="465"/>
      <c r="AK446" s="456"/>
      <c r="AL446" s="457">
        <f t="shared" si="97"/>
        <v>589.04</v>
      </c>
      <c r="AM446" s="461"/>
      <c r="AN446" s="459">
        <f t="shared" si="92"/>
        <v>-393.03999999999996</v>
      </c>
      <c r="AO446" s="466">
        <f t="shared" si="93"/>
        <v>-0.66725519489338581</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5774.1370435507661</v>
      </c>
      <c r="AA447" s="456"/>
      <c r="AB447" s="464"/>
      <c r="AC447" s="457"/>
      <c r="AD447" s="465"/>
      <c r="AE447" s="464"/>
      <c r="AF447" s="457">
        <f t="shared" si="95"/>
        <v>5885.7999999999993</v>
      </c>
      <c r="AG447" s="458"/>
      <c r="AH447" s="459">
        <f t="shared" si="88"/>
        <v>111.66295644923321</v>
      </c>
      <c r="AI447" s="460">
        <f t="shared" si="96"/>
        <v>1.9338466615362291E-2</v>
      </c>
      <c r="AJ447" s="465"/>
      <c r="AK447" s="456"/>
      <c r="AL447" s="457">
        <f t="shared" si="97"/>
        <v>6583.58</v>
      </c>
      <c r="AM447" s="461"/>
      <c r="AN447" s="459">
        <f t="shared" si="92"/>
        <v>-697.78000000000065</v>
      </c>
      <c r="AO447" s="466">
        <f t="shared" si="93"/>
        <v>-0.10598792754094287</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1">
        <f>Z448/Z406</f>
        <v>1.292983894054131E-3</v>
      </c>
      <c r="Z448" s="457">
        <f t="shared" si="94"/>
        <v>8126.212895296856</v>
      </c>
      <c r="AA448" s="456"/>
      <c r="AB448" s="464"/>
      <c r="AC448" s="457"/>
      <c r="AD448" s="465"/>
      <c r="AE448" s="464"/>
      <c r="AF448" s="958">
        <f t="shared" si="95"/>
        <v>8670.7100000000009</v>
      </c>
      <c r="AG448" s="458"/>
      <c r="AH448" s="962">
        <f t="shared" si="88"/>
        <v>544.49710470314494</v>
      </c>
      <c r="AI448" s="460">
        <f t="shared" si="96"/>
        <v>6.7005025799690685E-2</v>
      </c>
      <c r="AJ448" s="465"/>
      <c r="AK448" s="456"/>
      <c r="AL448" s="457">
        <f t="shared" si="97"/>
        <v>8293.56</v>
      </c>
      <c r="AM448" s="461"/>
      <c r="AN448" s="459">
        <f t="shared" si="92"/>
        <v>377.15000000000146</v>
      </c>
      <c r="AO448" s="466">
        <f t="shared" si="93"/>
        <v>4.5475043286598453E-2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0.17230118733803457</v>
      </c>
      <c r="Y452" s="472"/>
      <c r="Z452" s="474">
        <f>+SUM(Z434:Z451)</f>
        <v>123611.16202551892</v>
      </c>
      <c r="AA452" s="473"/>
      <c r="AB452" s="472"/>
      <c r="AC452" s="474"/>
      <c r="AD452" s="475">
        <f>AF452/AF407</f>
        <v>0.17240064210657993</v>
      </c>
      <c r="AE452" s="472"/>
      <c r="AF452" s="474">
        <f>+SUM(AF434:AF451)</f>
        <v>134049.59</v>
      </c>
      <c r="AG452" s="481"/>
      <c r="AH452" s="494">
        <f>+SUM(AH434:AH451)</f>
        <v>10438.427974481068</v>
      </c>
      <c r="AI452" s="473">
        <f>AH452/Z452</f>
        <v>8.4445674673991875E-2</v>
      </c>
      <c r="AJ452" s="475">
        <f>IF($AL$407=0,0,AL452/$AL$407)</f>
        <v>0.18671790160028268</v>
      </c>
      <c r="AK452" s="473"/>
      <c r="AL452" s="474">
        <f>+SUM(AL434:AL451)</f>
        <v>124525.41</v>
      </c>
      <c r="AM452" s="482"/>
      <c r="AN452" s="477">
        <f>+SUM(AN434:AN451)</f>
        <v>9524.1800000000021</v>
      </c>
      <c r="AO452" s="495">
        <f t="shared" si="93"/>
        <v>7.6483827678222482E-2</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2024'!$A$2:$AO$501,MATCH($A453,'Réel 2024'!$A$2:$A$501,0),MATCH(F$2,'Réel 2024'!$A$2:$AO$2,0))</f>
        <v>36000</v>
      </c>
      <c r="AM453" s="461"/>
      <c r="AN453" s="459">
        <f t="shared" ref="AN453:AN461" si="100">AF453-AL453</f>
        <v>0</v>
      </c>
      <c r="AO453" s="466">
        <f t="shared" si="93"/>
        <v>0</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5423.4400000000005</v>
      </c>
      <c r="AA454" s="456"/>
      <c r="AB454" s="464"/>
      <c r="AC454" s="457"/>
      <c r="AD454" s="465"/>
      <c r="AE454" s="464"/>
      <c r="AF454" s="457">
        <f>SUMIFS(BV_Data_An_Cour!$O:$O,BV_Data_An_Cour!$V:$V,$V454)</f>
        <v>5423</v>
      </c>
      <c r="AG454" s="458"/>
      <c r="AH454" s="459">
        <f t="shared" si="98"/>
        <v>-0.44000000000050932</v>
      </c>
      <c r="AI454" s="460">
        <f t="shared" si="99"/>
        <v>-8.1129320136391167E-5</v>
      </c>
      <c r="AJ454" s="465"/>
      <c r="AK454" s="456"/>
      <c r="AL454" s="457">
        <f>+INDEX('Réel 2024'!$A$2:$AO$501,MATCH($A454,'Réel 2024'!$A$2:$A$501,0),MATCH(F$2,'Réel 2024'!$A$2:$AO$2,0))</f>
        <v>5177</v>
      </c>
      <c r="AM454" s="461"/>
      <c r="AN454" s="459">
        <f t="shared" si="100"/>
        <v>246</v>
      </c>
      <c r="AO454" s="466">
        <f t="shared" si="93"/>
        <v>4.7517867490824803E-2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3608.8800000000006</v>
      </c>
      <c r="AA455" s="440"/>
      <c r="AB455" s="468"/>
      <c r="AC455" s="441"/>
      <c r="AD455" s="469"/>
      <c r="AE455" s="468"/>
      <c r="AF455" s="441">
        <f>SUMIFS(BV_Data_An_Cour!$O:$O,BV_Data_An_Cour!$V:$V,$V455)</f>
        <v>3609</v>
      </c>
      <c r="AG455" s="442"/>
      <c r="AH455" s="443">
        <f t="shared" si="98"/>
        <v>0.11999999999943611</v>
      </c>
      <c r="AI455" s="470">
        <f t="shared" si="99"/>
        <v>3.3251313426724106E-5</v>
      </c>
      <c r="AJ455" s="469"/>
      <c r="AK455" s="440"/>
      <c r="AL455" s="441">
        <f>+INDEX('Réel 2024'!$A$2:$AO$501,MATCH($A455,'Réel 2024'!$A$2:$A$501,0),MATCH(F$2,'Réel 2024'!$A$2:$AO$2,0))</f>
        <v>3726.28</v>
      </c>
      <c r="AM455" s="445"/>
      <c r="AN455" s="443">
        <f t="shared" si="100"/>
        <v>-117.2800000000002</v>
      </c>
      <c r="AO455" s="446">
        <f t="shared" si="93"/>
        <v>-3.1473748617924631E-2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2024'!$A$2:$AO$501,MATCH($A456,'Réel 2024'!$A$2:$A$501,0),MATCH(F$2,'Réel 2024'!$A$2:$AO$2,0))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4344.25</v>
      </c>
      <c r="AA457" s="440"/>
      <c r="AB457" s="468"/>
      <c r="AC457" s="441"/>
      <c r="AD457" s="469"/>
      <c r="AE457" s="468"/>
      <c r="AF457" s="441">
        <f>SUMIF(BV_Data_An_Cour!$V:$V,Print_Mois!$V457,BV_Data_An_Cour!$O:$O)</f>
        <v>4344.25</v>
      </c>
      <c r="AG457" s="442"/>
      <c r="AH457" s="443">
        <f t="shared" si="98"/>
        <v>0</v>
      </c>
      <c r="AI457" s="470">
        <f t="shared" si="99"/>
        <v>0</v>
      </c>
      <c r="AJ457" s="469"/>
      <c r="AK457" s="440"/>
      <c r="AL457" s="441">
        <f>+INDEX('Réel 2024'!$A$2:$AO$501,MATCH($A457,'Réel 2024'!$A$2:$A$501,0),MATCH(F$2,'Réel 2024'!$A$2:$AO$2,0))</f>
        <v>3893.08</v>
      </c>
      <c r="AM457" s="445"/>
      <c r="AN457" s="443">
        <f t="shared" si="100"/>
        <v>451.17000000000007</v>
      </c>
      <c r="AO457" s="446">
        <f t="shared" si="93"/>
        <v>0.11589024628314858</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3700</v>
      </c>
      <c r="AA458" s="496"/>
      <c r="AB458" s="497"/>
      <c r="AC458" s="457"/>
      <c r="AD458" s="465"/>
      <c r="AE458" s="464"/>
      <c r="AF458" s="1206">
        <f>SUMIFS(BV_Data_An_Cour!$O:$O,BV_Data_An_Cour!$V:$V,$V458)</f>
        <v>4921.3999999999996</v>
      </c>
      <c r="AG458" s="458"/>
      <c r="AH458" s="459">
        <f t="shared" si="98"/>
        <v>1221.3999999999996</v>
      </c>
      <c r="AI458" s="460">
        <f t="shared" si="99"/>
        <v>0.33010810810810803</v>
      </c>
      <c r="AJ458" s="465"/>
      <c r="AK458" s="456"/>
      <c r="AL458" s="457">
        <f>+INDEX('Réel 2024'!$A$2:$AO$501,MATCH($A458,'Réel 2024'!$A$2:$A$501,0),MATCH(F$2,'Réel 2024'!$A$2:$AO$2,0))</f>
        <v>4087.0299999999902</v>
      </c>
      <c r="AM458" s="461"/>
      <c r="AN458" s="459">
        <f t="shared" si="100"/>
        <v>834.37000000000944</v>
      </c>
      <c r="AO458" s="466">
        <f t="shared" si="93"/>
        <v>0.2041506913333182</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10733.28</v>
      </c>
      <c r="AG459" s="458"/>
      <c r="AH459" s="459">
        <f t="shared" si="98"/>
        <v>3949.2300000000005</v>
      </c>
      <c r="AI459" s="460">
        <f t="shared" si="99"/>
        <v>0.58213456563557175</v>
      </c>
      <c r="AJ459" s="465"/>
      <c r="AK459" s="456"/>
      <c r="AL459" s="457">
        <f>+INDEX('Réel 2024'!$A$2:$AO$501,MATCH($A459,'Réel 2024'!$A$2:$A$501,0),MATCH(F$2,'Réel 2024'!$A$2:$AO$2,0))</f>
        <v>7623.3299999999899</v>
      </c>
      <c r="AM459" s="461"/>
      <c r="AN459" s="459">
        <f t="shared" si="100"/>
        <v>3109.9500000000107</v>
      </c>
      <c r="AO459" s="466">
        <f t="shared" si="93"/>
        <v>0.40795164317955734</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1364.5623407645369</v>
      </c>
      <c r="AA460" s="440"/>
      <c r="AB460" s="468"/>
      <c r="AC460" s="441"/>
      <c r="AD460" s="469"/>
      <c r="AE460" s="468"/>
      <c r="AF460" s="441">
        <f>SUMIFS(BV_Data_An_Cour!$O:$O,BV_Data_An_Cour!$V:$V,$V460)</f>
        <v>764.9</v>
      </c>
      <c r="AG460" s="442"/>
      <c r="AH460" s="443">
        <f t="shared" si="98"/>
        <v>-599.66234076453691</v>
      </c>
      <c r="AI460" s="470">
        <f t="shared" si="99"/>
        <v>-0.43945397205418857</v>
      </c>
      <c r="AJ460" s="469"/>
      <c r="AK460" s="440"/>
      <c r="AL460" s="441">
        <f>+INDEX('Réel 2024'!$A$2:$AO$501,MATCH($A460,'Réel 2024'!$A$2:$A$501,0),MATCH(F$2,'Réel 2024'!$A$2:$AO$2,0))</f>
        <v>274.05</v>
      </c>
      <c r="AM460" s="445"/>
      <c r="AN460" s="443">
        <f t="shared" si="100"/>
        <v>490.84999999999997</v>
      </c>
      <c r="AO460" s="446">
        <f t="shared" si="93"/>
        <v>1.791096515234446</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1794.64</v>
      </c>
      <c r="AG461" s="458"/>
      <c r="AH461" s="459">
        <f t="shared" si="98"/>
        <v>794.6400000000001</v>
      </c>
      <c r="AI461" s="498">
        <f t="shared" si="99"/>
        <v>0.79464000000000012</v>
      </c>
      <c r="AJ461" s="456"/>
      <c r="AK461" s="456"/>
      <c r="AL461" s="457">
        <f>+INDEX('Réel 2024'!$A$2:$AO$501,MATCH($A461,'Réel 2024'!$A$2:$A$501,0),MATCH(F$2,'Réel 2024'!$A$2:$AO$2,0))</f>
        <v>897.64</v>
      </c>
      <c r="AM461" s="461"/>
      <c r="AN461" s="459">
        <f t="shared" si="100"/>
        <v>897.00000000000011</v>
      </c>
      <c r="AO461" s="466">
        <f t="shared" si="93"/>
        <v>0.99928701929504049</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2024'!$A$2:$AO$501,MATCH($A462,'Réel 2024'!$A$2:$A$501,0),MATCH(F$2,'Réel 2024'!$A$2:$AO$2,0))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8.6735474563583798E-2</v>
      </c>
      <c r="Y466" s="472"/>
      <c r="Z466" s="474">
        <f>SUM(Z453:Z465)</f>
        <v>62225.182340764542</v>
      </c>
      <c r="AA466" s="473"/>
      <c r="AB466" s="472"/>
      <c r="AC466" s="474"/>
      <c r="AD466" s="475">
        <f>AF466/AF407</f>
        <v>8.6927833410646971E-2</v>
      </c>
      <c r="AE466" s="472"/>
      <c r="AF466" s="474">
        <f>SUM(AF453:AF465)</f>
        <v>67590.47</v>
      </c>
      <c r="AG466" s="481"/>
      <c r="AH466" s="494">
        <f>SUM(AH453:AH465)</f>
        <v>5365.2876592354633</v>
      </c>
      <c r="AI466" s="473">
        <f>IF(Z466=0,0,AH466/Z466)</f>
        <v>8.6223735430030105E-2</v>
      </c>
      <c r="AJ466" s="475">
        <f>IF($AL$407=0,0,AL466/$AL$407)</f>
        <v>9.2482837753691288E-2</v>
      </c>
      <c r="AK466" s="473"/>
      <c r="AL466" s="474">
        <f>SUM(AL453:AL465)</f>
        <v>61678.409999999982</v>
      </c>
      <c r="AM466" s="482"/>
      <c r="AN466" s="477">
        <f>SUM(AN453:AN465)</f>
        <v>5912.0600000000204</v>
      </c>
      <c r="AO466" s="495">
        <f t="shared" ref="AO466:AO483" si="101">IF(AL466=0,0,AN466/AL466)</f>
        <v>9.5852989725254301E-2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0.96226449836243932</v>
      </c>
      <c r="Y468" s="472"/>
      <c r="Z468" s="474">
        <f>Z419+Z433+Z452+Z466</f>
        <v>690341.34155515092</v>
      </c>
      <c r="AA468" s="473"/>
      <c r="AB468" s="472"/>
      <c r="AC468" s="474"/>
      <c r="AD468" s="475">
        <f>AF468/AF407</f>
        <v>0.83000909025516922</v>
      </c>
      <c r="AE468" s="472"/>
      <c r="AF468" s="474">
        <f>AF419+AF433+AF452+AF466</f>
        <v>645371.0199999999</v>
      </c>
      <c r="AG468" s="481"/>
      <c r="AH468" s="494">
        <f t="shared" si="102"/>
        <v>-44970.321555151022</v>
      </c>
      <c r="AI468" s="473">
        <f>AH468/Z468</f>
        <v>-6.514215337856652E-2</v>
      </c>
      <c r="AJ468" s="475">
        <f>IF($AL$407=0,0,AL468/$AL$407)</f>
        <v>0.96878890661955719</v>
      </c>
      <c r="AK468" s="473"/>
      <c r="AL468" s="474">
        <f>AL419+AL433+AL452+AL466</f>
        <v>646102.14000000013</v>
      </c>
      <c r="AM468" s="482"/>
      <c r="AN468" s="477">
        <f t="shared" si="103"/>
        <v>-731.12000000022817</v>
      </c>
      <c r="AO468" s="454">
        <f t="shared" si="101"/>
        <v>-1.1315857892069945E-3</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0</v>
      </c>
      <c r="AA469" s="502"/>
      <c r="AB469" s="503"/>
      <c r="AC469" s="485"/>
      <c r="AD469" s="504"/>
      <c r="AE469" s="503"/>
      <c r="AF469" s="457">
        <f>-SUMIFS(BV_Data_An_Cour!$O:$O,BV_Data_An_Cour!$V:$V,$V469)</f>
        <v>67.010000000000005</v>
      </c>
      <c r="AG469" s="505"/>
      <c r="AH469" s="459">
        <f t="shared" si="102"/>
        <v>67.010000000000005</v>
      </c>
      <c r="AI469" s="498" t="e">
        <f>IF(AH469=0,0,AH469/Z469)</f>
        <v>#DIV/0!</v>
      </c>
      <c r="AJ469" s="504"/>
      <c r="AK469" s="502"/>
      <c r="AL469" s="506">
        <f>+INDEX('Réel 2024'!$A$2:$AO$501,MATCH($A469,'Réel 2024'!$A$2:$A$501,0),MATCH(F$2,'Réel 2024'!$A$2:$AO$2,0))</f>
        <v>7191.32</v>
      </c>
      <c r="AM469" s="507"/>
      <c r="AN469" s="459">
        <f t="shared" si="103"/>
        <v>-7124.3099999999995</v>
      </c>
      <c r="AO469" s="466">
        <f t="shared" si="101"/>
        <v>-0.99068182197426891</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105543.44363841046</v>
      </c>
      <c r="AA470" s="496"/>
      <c r="AB470" s="459"/>
      <c r="AC470" s="457"/>
      <c r="AD470" s="508"/>
      <c r="AE470" s="509"/>
      <c r="AF470" s="457">
        <f t="shared" ref="AF470:AF476" si="105">+SUMIF($C:$C,$V470,L:L)</f>
        <v>94826.85</v>
      </c>
      <c r="AG470" s="510"/>
      <c r="AH470" s="459">
        <f t="shared" si="102"/>
        <v>-10716.593638410457</v>
      </c>
      <c r="AI470" s="479">
        <f>IF(Z470=0,0,AH470/Z470)</f>
        <v>-0.1015372747844506</v>
      </c>
      <c r="AJ470" s="511"/>
      <c r="AK470" s="496"/>
      <c r="AL470" s="512">
        <f t="shared" ref="AL470:AL479" si="106">+SUMIF($C:$C,$V470,Q:Q)</f>
        <v>127510</v>
      </c>
      <c r="AM470" s="508"/>
      <c r="AN470" s="459">
        <f t="shared" si="103"/>
        <v>-32683.149999999994</v>
      </c>
      <c r="AO470" s="466">
        <f t="shared" si="101"/>
        <v>-0.25631832797427651</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0</v>
      </c>
      <c r="AA471" s="496"/>
      <c r="AB471" s="497"/>
      <c r="AC471" s="457"/>
      <c r="AD471" s="511"/>
      <c r="AF471" s="457">
        <f t="shared" si="105"/>
        <v>0</v>
      </c>
      <c r="AG471" s="510"/>
      <c r="AH471" s="459">
        <f t="shared" si="102"/>
        <v>0</v>
      </c>
      <c r="AI471" s="479">
        <f t="shared" ref="AI471:AI480" si="107">IF(AH471=0,0,AH471/Z471)</f>
        <v>0</v>
      </c>
      <c r="AJ471" s="511"/>
      <c r="AK471" s="496"/>
      <c r="AL471" s="512">
        <f t="shared" si="106"/>
        <v>18100</v>
      </c>
      <c r="AM471" s="508"/>
      <c r="AN471" s="459">
        <f t="shared" si="103"/>
        <v>-18100</v>
      </c>
      <c r="AO471" s="466">
        <f t="shared" si="101"/>
        <v>-1</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2024'!$A$2:$AO$501,MATCH($A477,'Réel 2024'!$A$2:$A$501,0),MATCH(F$2,'Réel 2024'!$A$2:$AO$2,0))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47493.349999999991</v>
      </c>
      <c r="AA480" s="496"/>
      <c r="AB480" s="497"/>
      <c r="AC480" s="457"/>
      <c r="AD480" s="513">
        <f>AF480/499</f>
        <v>104.51302605210421</v>
      </c>
      <c r="AE480" s="496">
        <f>(AF480/399)/(J13+J15+J97)</f>
        <v>1.1991446506173691</v>
      </c>
      <c r="AF480" s="457">
        <f>+SUMIF($C:$C,$V480,L:L)</f>
        <v>52152</v>
      </c>
      <c r="AG480" s="510"/>
      <c r="AH480" s="459">
        <f t="shared" si="102"/>
        <v>4658.6500000000087</v>
      </c>
      <c r="AI480" s="479">
        <f t="shared" si="107"/>
        <v>9.8090574785733367E-2</v>
      </c>
      <c r="AJ480" s="511"/>
      <c r="AK480" s="496"/>
      <c r="AL480" s="512">
        <f>+INDEX('Réel 2024'!$A$2:$AO$501,MATCH($A480,'Réel 2024'!$A$2:$A$501,0),MATCH(F$2,'Réel 2024'!$A$2:$AO$2,0))</f>
        <v>48184</v>
      </c>
      <c r="AM480" s="508"/>
      <c r="AN480" s="459">
        <f t="shared" si="103"/>
        <v>3968</v>
      </c>
      <c r="AO480" s="466">
        <f t="shared" si="101"/>
        <v>8.2350987879794127E-2</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0.21331747730726991</v>
      </c>
      <c r="Y481" s="493"/>
      <c r="Z481" s="474">
        <f>SUM(Z469:Z480)</f>
        <v>153036.79363841045</v>
      </c>
      <c r="AA481" s="473"/>
      <c r="AB481" s="493"/>
      <c r="AC481" s="474"/>
      <c r="AD481" s="473">
        <f>AF481/+AF407</f>
        <v>0.18911509302724655</v>
      </c>
      <c r="AE481" s="493"/>
      <c r="AF481" s="474">
        <f>SUM(AF469:AF480)</f>
        <v>147045.85999999999</v>
      </c>
      <c r="AG481" s="481"/>
      <c r="AH481" s="477">
        <f t="shared" si="102"/>
        <v>-5990.9336384104681</v>
      </c>
      <c r="AI481" s="473">
        <f>AH481/Z481</f>
        <v>-3.9147014884313505E-2</v>
      </c>
      <c r="AJ481" s="514"/>
      <c r="AK481" s="515"/>
      <c r="AL481" s="474">
        <f>SUM(AL469:AL480)</f>
        <v>200985.32</v>
      </c>
      <c r="AM481" s="516"/>
      <c r="AN481" s="477">
        <f t="shared" si="103"/>
        <v>-53939.460000000021</v>
      </c>
      <c r="AO481" s="495">
        <f t="shared" si="101"/>
        <v>-0.26837512311844475</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2.8657593431559183E-2</v>
      </c>
      <c r="Z483" s="534">
        <f>Z407-Z468+Z481</f>
        <v>180108.74409388524</v>
      </c>
      <c r="AA483" s="532"/>
      <c r="AB483" s="533"/>
      <c r="AC483" s="534"/>
      <c r="AD483" s="532" t="s">
        <v>219</v>
      </c>
      <c r="AE483" s="533">
        <f>AF483/AF406</f>
        <v>4.1371218581874265E-2</v>
      </c>
      <c r="AF483" s="535">
        <f>AF407-AF468+AF481</f>
        <v>279221.77000000025</v>
      </c>
      <c r="AG483" s="536"/>
      <c r="AH483" s="536">
        <f>AF483-Z483</f>
        <v>99113.025906115014</v>
      </c>
      <c r="AI483" s="537">
        <f>AH483/Z483</f>
        <v>0.55029546957725939</v>
      </c>
      <c r="AJ483" s="538" t="s">
        <v>219</v>
      </c>
      <c r="AK483" s="533">
        <f>IF($AL$406=0,0,AL483/$AL$406)</f>
        <v>3.334365445710432E-2</v>
      </c>
      <c r="AL483" s="535">
        <f>AL407-AL468+AL481</f>
        <v>221800.53999999835</v>
      </c>
      <c r="AM483" s="539"/>
      <c r="AN483" s="535">
        <f t="shared" si="103"/>
        <v>57421.230000001902</v>
      </c>
      <c r="AO483" s="540">
        <f t="shared" si="101"/>
        <v>0.25888679080764332</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Juillet 2025</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3.6314563850877619E-2</v>
      </c>
      <c r="Z488" s="1186">
        <f>Z489+Z415</f>
        <v>228231.67280669033</v>
      </c>
      <c r="AA488" s="1184"/>
      <c r="AB488" s="1185"/>
      <c r="AC488" s="534"/>
      <c r="AD488" s="1184" t="s">
        <v>219</v>
      </c>
      <c r="AE488" s="1185">
        <f>AF488/AF406</f>
        <v>4.5254527800547041E-2</v>
      </c>
      <c r="AF488" s="1186">
        <f>AF489+AF415</f>
        <v>305430.92000000027</v>
      </c>
      <c r="AG488" s="536"/>
      <c r="AH488" s="536">
        <f t="shared" ref="AH488" si="108">AF488-Z488</f>
        <v>77199.247193309944</v>
      </c>
      <c r="AI488" s="537">
        <f>AH488/Z488</f>
        <v>0.3382494911593486</v>
      </c>
      <c r="AJ488" s="1184" t="s">
        <v>219</v>
      </c>
      <c r="AK488" s="1185">
        <f>IF($AL$406=0,0,AL488/$AL$406)</f>
        <v>4.0714688795478154E-2</v>
      </c>
      <c r="AL488" s="1186">
        <f>AL489+AL415</f>
        <v>270832.33999999834</v>
      </c>
      <c r="AM488" s="539"/>
      <c r="AN488" s="1186">
        <f t="shared" ref="AN488" si="109">AF488-AL488</f>
        <v>34598.580000001937</v>
      </c>
      <c r="AO488" s="1187">
        <f t="shared" ref="AO488" si="110">IF(AL488=0,0,AN488/AL488)</f>
        <v>0.12774907162121832</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2.8657593431559183E-2</v>
      </c>
      <c r="Z489" s="534">
        <f>Z483</f>
        <v>180108.74409388524</v>
      </c>
      <c r="AA489" s="532"/>
      <c r="AB489" s="533"/>
      <c r="AC489" s="534"/>
      <c r="AD489" s="532" t="s">
        <v>219</v>
      </c>
      <c r="AE489" s="533">
        <f>AF489/AF406</f>
        <v>4.1371218581874265E-2</v>
      </c>
      <c r="AF489" s="534">
        <f>AF483</f>
        <v>279221.77000000025</v>
      </c>
      <c r="AG489" s="535"/>
      <c r="AH489" s="536">
        <f>AF489-Z489</f>
        <v>99113.025906115014</v>
      </c>
      <c r="AI489" s="537">
        <f>AH489/Z489</f>
        <v>0.55029546957725939</v>
      </c>
      <c r="AJ489" s="532" t="s">
        <v>219</v>
      </c>
      <c r="AK489" s="533">
        <f>IF($AL$406=0,0,AL489/$AL$406)</f>
        <v>3.334365445710432E-2</v>
      </c>
      <c r="AL489" s="543">
        <f>AL483</f>
        <v>221800.53999999835</v>
      </c>
      <c r="AM489" s="544"/>
      <c r="AN489" s="545">
        <f>AF489-AL489</f>
        <v>57421.230000001902</v>
      </c>
      <c r="AO489" s="546">
        <f>IF(AL489=0,0,AN489/AL489)</f>
        <v>0.25888679080764332</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43648</v>
      </c>
      <c r="AA491" s="456"/>
      <c r="AB491" s="464"/>
      <c r="AC491" s="457"/>
      <c r="AD491" s="456"/>
      <c r="AE491" s="464"/>
      <c r="AF491" s="457">
        <f>SUMIFS(BV_Data_An_Cour!$O:$O,BV_Data_An_Cour!$V:$V,$V491)</f>
        <v>42648</v>
      </c>
      <c r="AG491" s="456"/>
      <c r="AH491" s="459">
        <f t="shared" ref="AH491:AH498" si="111">AF491-Z491</f>
        <v>-1000</v>
      </c>
      <c r="AI491" s="479">
        <f t="shared" ref="AI491:AI497" si="112">IF(Z491=0,0,AH491/Z491)</f>
        <v>-2.2910557184750734E-2</v>
      </c>
      <c r="AJ491" s="456"/>
      <c r="AK491" s="456"/>
      <c r="AL491" s="457">
        <f>+INDEX('Réel 2024'!$A$2:$AO$501,MATCH($A491,'Réel 2024'!$A$2:$A$501,0),MATCH(F$2,'Réel 2024'!$A$2:$AO$2,0))</f>
        <v>34648</v>
      </c>
      <c r="AM491" s="461"/>
      <c r="AN491" s="459">
        <f t="shared" ref="AN491:AN498" si="113">AF491-AL491</f>
        <v>8000</v>
      </c>
      <c r="AO491" s="466">
        <f t="shared" ref="AO491:AO498" si="114">IF(AL491=0,0,AN491/AL491)</f>
        <v>0.23089355806972986</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2024'!$A$2:$AO$501,MATCH($A492,'Réel 2024'!$A$2:$A$501,0),MATCH(F$2,'Réel 2024'!$A$2:$AO$2,0))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0</v>
      </c>
      <c r="AG493" s="38"/>
      <c r="AH493" s="459">
        <f t="shared" si="111"/>
        <v>0</v>
      </c>
      <c r="AI493" s="479">
        <f t="shared" si="112"/>
        <v>0</v>
      </c>
      <c r="AJ493" s="38"/>
      <c r="AK493" s="38"/>
      <c r="AL493" s="457">
        <f>+INDEX('Réel 2024'!$A$2:$AO$501,MATCH($A493,'Réel 2024'!$A$2:$A$501,0),MATCH(F$2,'Réel 2024'!$A$2:$AO$2,0))</f>
        <v>-666.79</v>
      </c>
      <c r="AM493" s="551"/>
      <c r="AN493" s="459">
        <f t="shared" si="113"/>
        <v>666.79</v>
      </c>
      <c r="AO493" s="466">
        <f t="shared" si="114"/>
        <v>-1</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2024'!$A$2:$AO$501,MATCH($A494,'Réel 2024'!$A$2:$A$501,0),MATCH(F$2,'Réel 2024'!$A$2:$AO$2,0))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1211">
        <f>+INDEX('Réel 2024'!$A$2:$AO$501,MATCH($A495,'Réel 2024'!$A$2:$A$501,0),MATCH(F$2,'Réel 2024'!$A$2:$AO$2,0))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312" t="str">
        <f>V496</f>
        <v>Revenus d'intérêts Floor plan</v>
      </c>
      <c r="B496" s="3"/>
      <c r="C496" s="433" t="s">
        <v>598</v>
      </c>
      <c r="D496" s="38"/>
      <c r="E496" s="38"/>
      <c r="F496" s="94"/>
      <c r="G496" s="38"/>
      <c r="H496" s="38"/>
      <c r="I496" s="94"/>
      <c r="J496" s="38"/>
      <c r="K496" s="38"/>
      <c r="L496" s="38"/>
      <c r="M496" s="94"/>
      <c r="N496" s="38"/>
      <c r="O496" s="38"/>
      <c r="P496" s="38"/>
      <c r="Q496" s="94"/>
      <c r="R496" s="94"/>
      <c r="S496" s="94"/>
      <c r="T496" s="38"/>
      <c r="U496" s="38"/>
      <c r="V496" s="312" t="s">
        <v>3936</v>
      </c>
      <c r="W496" s="41"/>
      <c r="X496" s="41"/>
      <c r="Y496" s="41"/>
      <c r="Z496" s="457">
        <f>+INDEX('Budget original'!$A$2:$AO$501,MATCH($A496,'Budget original'!$A$2:$A$501,0),MATCH(F$2,'Budget original'!$A$2:$AO$2,0))</f>
        <v>-1079.1666666666667</v>
      </c>
      <c r="AA496" s="456"/>
      <c r="AB496" s="456"/>
      <c r="AC496" s="457"/>
      <c r="AD496" s="465"/>
      <c r="AE496" s="464"/>
      <c r="AF496" s="457">
        <f>SUMIFS(BV_Data_An_Cour!$O:$O,BV_Data_An_Cour!$V:$V,$V496)</f>
        <v>-1079</v>
      </c>
      <c r="AG496" s="458"/>
      <c r="AH496" s="459">
        <f t="shared" si="111"/>
        <v>0.16666666666674246</v>
      </c>
      <c r="AI496" s="460">
        <f t="shared" si="112"/>
        <v>-1.5444015444022465E-4</v>
      </c>
      <c r="AJ496" s="465"/>
      <c r="AK496" s="456"/>
      <c r="AL496" s="457">
        <f>+INDEX('Réel 2024'!$A$2:$AO$501,MATCH($A496,'Réel 2024'!$A$2:$A$501,0),MATCH(F$2,'Réel 2024'!$A$2:$AO$2,0))</f>
        <v>-2872.23</v>
      </c>
      <c r="AM496" s="551"/>
      <c r="AN496" s="459">
        <f t="shared" si="113"/>
        <v>1793.23</v>
      </c>
      <c r="AO496" s="466">
        <f t="shared" si="114"/>
        <v>-0.62433370586617365</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customHeight="1" thickBo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2024'!$A$2:$AO$501,MATCH($A497,'Réel 2024'!$A$2:$A$501,0),MATCH(F$2,'Réel 2024'!$A$2:$AO$2,0))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2.1884350274155542E-2</v>
      </c>
      <c r="Z498" s="534">
        <f>Z489-Z491-Z492-Z493-Z497-Z496</f>
        <v>137539.91076055189</v>
      </c>
      <c r="AA498" s="532"/>
      <c r="AB498" s="533"/>
      <c r="AC498" s="534"/>
      <c r="AD498" s="532" t="s">
        <v>219</v>
      </c>
      <c r="AE498" s="533">
        <f>AF498/AF406</f>
        <v>3.5212099308223326E-2</v>
      </c>
      <c r="AF498" s="535">
        <f>AF489-AF491-AF492-AF493-AF497-AF496</f>
        <v>237652.77000000025</v>
      </c>
      <c r="AG498" s="536"/>
      <c r="AH498" s="536">
        <f t="shared" si="111"/>
        <v>100112.85923944836</v>
      </c>
      <c r="AI498" s="537">
        <f>AH498/Z498</f>
        <v>0.72788224658469047</v>
      </c>
      <c r="AJ498" s="538" t="s">
        <v>219</v>
      </c>
      <c r="AK498" s="533">
        <f>IF($AL$406=0,0,AL498/$AL$406)</f>
        <v>2.8666988297351162E-2</v>
      </c>
      <c r="AL498" s="535">
        <f>AL489-AL491-AL492-AL493-AL497-AL496</f>
        <v>190691.55999999837</v>
      </c>
      <c r="AM498" s="539"/>
      <c r="AN498" s="535">
        <f t="shared" si="113"/>
        <v>46961.210000001884</v>
      </c>
      <c r="AO498" s="553">
        <f t="shared" si="114"/>
        <v>0.2462678998483325</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3317</v>
      </c>
      <c r="AF500" s="555">
        <v>171618</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94"/>
      <c r="AG502" s="38"/>
      <c r="AH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38"/>
      <c r="AF503" s="38"/>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3"/>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3"/>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3"/>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D112">
    <cfRule type="expression" dxfId="113" priority="4" stopIfTrue="1">
      <formula>"esterreur(reference)"</formula>
    </cfRule>
  </conditionalFormatting>
  <conditionalFormatting sqref="D172:D181">
    <cfRule type="expression" dxfId="112" priority="362" stopIfTrue="1">
      <formula>"esterreur(reference)"</formula>
    </cfRule>
  </conditionalFormatting>
  <conditionalFormatting sqref="D400">
    <cfRule type="expression" dxfId="111" priority="11" stopIfTrue="1">
      <formula>"esterreur(reference)"</formula>
    </cfRule>
  </conditionalFormatting>
  <conditionalFormatting sqref="E186">
    <cfRule type="expression" dxfId="110" priority="363" stopIfTrue="1">
      <formula>"esterreur(reference)"</formula>
    </cfRule>
  </conditionalFormatting>
  <conditionalFormatting sqref="F5">
    <cfRule type="expression" dxfId="109" priority="360" stopIfTrue="1">
      <formula>"esterreur(reference)"</formula>
    </cfRule>
  </conditionalFormatting>
  <conditionalFormatting sqref="F83:F85">
    <cfRule type="expression" dxfId="108" priority="359" stopIfTrue="1">
      <formula>"esterreur(reference)"</formula>
    </cfRule>
  </conditionalFormatting>
  <conditionalFormatting sqref="F101">
    <cfRule type="expression" dxfId="107" priority="364" stopIfTrue="1">
      <formula>"esterreur(reference)"</formula>
    </cfRule>
  </conditionalFormatting>
  <conditionalFormatting sqref="F184">
    <cfRule type="expression" dxfId="106" priority="161" stopIfTrue="1">
      <formula>"esterreur(reference)"</formula>
    </cfRule>
  </conditionalFormatting>
  <conditionalFormatting sqref="G31:G32">
    <cfRule type="expression" dxfId="105" priority="357" stopIfTrue="1">
      <formula>"esterreur(reference)"</formula>
    </cfRule>
  </conditionalFormatting>
  <conditionalFormatting sqref="G112:G113">
    <cfRule type="expression" dxfId="104" priority="340" stopIfTrue="1">
      <formula>"esterreur(reference)"</formula>
    </cfRule>
  </conditionalFormatting>
  <conditionalFormatting sqref="G172:G181">
    <cfRule type="expression" dxfId="103" priority="361" stopIfTrue="1">
      <formula>"esterreur(reference)"</formula>
    </cfRule>
  </conditionalFormatting>
  <conditionalFormatting sqref="H25:H26 H28:H72">
    <cfRule type="expression" dxfId="102" priority="352" stopIfTrue="1">
      <formula>"esterreur(reference)"</formula>
    </cfRule>
  </conditionalFormatting>
  <conditionalFormatting sqref="H360 J360:L360">
    <cfRule type="expression" dxfId="101" priority="31" stopIfTrue="1">
      <formula>"esterreur(reference)"</formula>
    </cfRule>
  </conditionalFormatting>
  <conditionalFormatting sqref="H197:L197">
    <cfRule type="expression" dxfId="100" priority="34" stopIfTrue="1">
      <formula>"esterreur(reference)"</formula>
    </cfRule>
  </conditionalFormatting>
  <conditionalFormatting sqref="H313:L313 H314:J314 L314 H315:L317">
    <cfRule type="expression" dxfId="99" priority="2" stopIfTrue="1">
      <formula>"esterreur(reference)"</formula>
    </cfRule>
  </conditionalFormatting>
  <conditionalFormatting sqref="H396:L399">
    <cfRule type="expression" dxfId="98" priority="28" stopIfTrue="1">
      <formula>"esterreur(reference)"</formula>
    </cfRule>
  </conditionalFormatting>
  <conditionalFormatting sqref="I16:I18 I20 I24:I30">
    <cfRule type="expression" dxfId="97" priority="358" stopIfTrue="1">
      <formula>"esterreur(reference)"</formula>
    </cfRule>
  </conditionalFormatting>
  <conditionalFormatting sqref="I377:L377 J378:L394 H378:H395">
    <cfRule type="expression" dxfId="96" priority="29"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L318:L329 H318:H348 J318:K348 H349:L349 H352:L352 H353:H355 J353:K355 H361:L364 H365:H376 J365:L376 H400 J400:K400">
    <cfRule type="expression" dxfId="95" priority="13" stopIfTrue="1">
      <formula>"esterreur(reference)"</formula>
    </cfRule>
  </conditionalFormatting>
  <conditionalFormatting sqref="K395">
    <cfRule type="expression" dxfId="94" priority="32" stopIfTrue="1">
      <formula>"esterreur(reference)"</formula>
    </cfRule>
  </conditionalFormatting>
  <conditionalFormatting sqref="K5:L5">
    <cfRule type="expression" dxfId="93" priority="140" stopIfTrue="1">
      <formula>"esterreur(reference)"</formula>
    </cfRule>
  </conditionalFormatting>
  <conditionalFormatting sqref="K244:L244">
    <cfRule type="expression" dxfId="92" priority="119" stopIfTrue="1">
      <formula>"esterreur(reference)"</formula>
    </cfRule>
  </conditionalFormatting>
  <conditionalFormatting sqref="K247:L247">
    <cfRule type="expression" dxfId="91" priority="120" stopIfTrue="1">
      <formula>"esterreur(reference)"</formula>
    </cfRule>
  </conditionalFormatting>
  <conditionalFormatting sqref="L42:L48">
    <cfRule type="expression" dxfId="90" priority="48" stopIfTrue="1">
      <formula>"esterreur(reference)"</formula>
    </cfRule>
  </conditionalFormatting>
  <conditionalFormatting sqref="L75:L82">
    <cfRule type="expression" dxfId="89" priority="1" stopIfTrue="1">
      <formula>"esterreur(reference)"</formula>
    </cfRule>
  </conditionalFormatting>
  <conditionalFormatting sqref="L156:L162">
    <cfRule type="expression" dxfId="88" priority="98" stopIfTrue="1">
      <formula>"esterreur(reference)"</formula>
    </cfRule>
  </conditionalFormatting>
  <conditionalFormatting sqref="L198:L209">
    <cfRule type="expression" dxfId="87" priority="75" stopIfTrue="1">
      <formula>"esterreur(reference)"</formula>
    </cfRule>
  </conditionalFormatting>
  <conditionalFormatting sqref="L211:L228">
    <cfRule type="expression" dxfId="86" priority="77" stopIfTrue="1">
      <formula>"esterreur(reference)"</formula>
    </cfRule>
  </conditionalFormatting>
  <conditionalFormatting sqref="L254:L265">
    <cfRule type="expression" dxfId="85" priority="121" stopIfTrue="1">
      <formula>"esterreur(reference)"</formula>
    </cfRule>
  </conditionalFormatting>
  <conditionalFormatting sqref="L331:L348">
    <cfRule type="expression" dxfId="84" priority="41" stopIfTrue="1">
      <formula>"esterreur(reference)"</formula>
    </cfRule>
  </conditionalFormatting>
  <conditionalFormatting sqref="L356:L357 H357:I357 K357 J357:J358 H359:L359">
    <cfRule type="expression" dxfId="83" priority="27" stopIfTrue="1">
      <formula>"esterreur(reference)"</formula>
    </cfRule>
  </conditionalFormatting>
  <conditionalFormatting sqref="M95:M97">
    <cfRule type="expression" dxfId="82" priority="14" stopIfTrue="1">
      <formula>"esterreur(reference)"</formula>
    </cfRule>
  </conditionalFormatting>
  <conditionalFormatting sqref="N197:N209">
    <cfRule type="expression" dxfId="81" priority="3" stopIfTrue="1">
      <formula>"esterreur(reference)"</formula>
    </cfRule>
  </conditionalFormatting>
  <conditionalFormatting sqref="N318:N328">
    <cfRule type="expression" dxfId="80" priority="8" stopIfTrue="1">
      <formula>"esterreur(reference)"</formula>
    </cfRule>
  </conditionalFormatting>
  <conditionalFormatting sqref="O295:P303 O304:Q306 O307:P308 O309:Q317 Q318:Q329 O318:P348 O349:Q349 O352:Q352 O353:P353">
    <cfRule type="expression" dxfId="79" priority="306" stopIfTrue="1">
      <formula>"esterreur(reference)"</formula>
    </cfRule>
  </conditionalFormatting>
  <conditionalFormatting sqref="O197:Q197">
    <cfRule type="expression" dxfId="78" priority="250" stopIfTrue="1">
      <formula>"esterreur(reference)"</formula>
    </cfRule>
  </conditionalFormatting>
  <conditionalFormatting sqref="O243:Q243 O252:Q253 O254:P284 Q282:Q285 O285 O288:Q288 O289:P289">
    <cfRule type="expression" dxfId="77" priority="278" stopIfTrue="1">
      <formula>"esterreur(reference)"</formula>
    </cfRule>
  </conditionalFormatting>
  <conditionalFormatting sqref="O359:Q394">
    <cfRule type="expression" dxfId="76" priority="319" stopIfTrue="1">
      <formula>"esterreur(reference)"</formula>
    </cfRule>
  </conditionalFormatting>
  <conditionalFormatting sqref="O396:Q399">
    <cfRule type="expression" dxfId="75" priority="322" stopIfTrue="1">
      <formula>"esterreur(reference)"</formula>
    </cfRule>
  </conditionalFormatting>
  <conditionalFormatting sqref="P5">
    <cfRule type="expression" dxfId="74" priority="176" stopIfTrue="1">
      <formula>"esterreur(reference)"</formula>
    </cfRule>
  </conditionalFormatting>
  <conditionalFormatting sqref="P175">
    <cfRule type="expression" dxfId="73" priority="272" stopIfTrue="1">
      <formula>"esterreur(reference)"</formula>
    </cfRule>
  </conditionalFormatting>
  <conditionalFormatting sqref="P178">
    <cfRule type="expression" dxfId="72" priority="273" stopIfTrue="1">
      <formula>"esterreur(reference)"</formula>
    </cfRule>
  </conditionalFormatting>
  <conditionalFormatting sqref="P181">
    <cfRule type="expression" dxfId="71" priority="274" stopIfTrue="1">
      <formula>"esterreur(reference)"</formula>
    </cfRule>
  </conditionalFormatting>
  <conditionalFormatting sqref="P395">
    <cfRule type="expression" dxfId="70" priority="324" stopIfTrue="1">
      <formula>"esterreur(reference)"</formula>
    </cfRule>
  </conditionalFormatting>
  <conditionalFormatting sqref="P93:Q96 O97:Q98 O156:P157 O164:Q164 O165:P165">
    <cfRule type="expression" dxfId="69" priority="208" stopIfTrue="1">
      <formula>"esterreur(reference)"</formula>
    </cfRule>
  </conditionalFormatting>
  <conditionalFormatting sqref="P99:Q100">
    <cfRule type="expression" dxfId="68" priority="206" stopIfTrue="1">
      <formula>"esterreur(reference)"</formula>
    </cfRule>
  </conditionalFormatting>
  <conditionalFormatting sqref="P172:Q173 O172:O196 Q174:Q175 P176:Q176 Q177:Q178 P179:Q179 Q180:Q181 O198:P229 O232:Q232 O233:P233">
    <cfRule type="expression" dxfId="67" priority="248" stopIfTrue="1">
      <formula>"esterreur(reference)"</formula>
    </cfRule>
  </conditionalFormatting>
  <conditionalFormatting sqref="P182:Q196">
    <cfRule type="expression" dxfId="66" priority="6" stopIfTrue="1">
      <formula>"esterreur(reference)"</formula>
    </cfRule>
  </conditionalFormatting>
  <conditionalFormatting sqref="P241:Q241">
    <cfRule type="expression" dxfId="65" priority="301" stopIfTrue="1">
      <formula>"esterreur(reference)"</formula>
    </cfRule>
  </conditionalFormatting>
  <conditionalFormatting sqref="P244:Q244">
    <cfRule type="expression" dxfId="64" priority="283" stopIfTrue="1">
      <formula>"esterreur(reference)"</formula>
    </cfRule>
  </conditionalFormatting>
  <conditionalFormatting sqref="P247:Q247">
    <cfRule type="expression" dxfId="63" priority="284" stopIfTrue="1">
      <formula>"esterreur(reference)"</formula>
    </cfRule>
  </conditionalFormatting>
  <conditionalFormatting sqref="Q5:Q14 O13:O14 O16 Q16:Q24 O18:O24 O25:Q26 O27 Q27 O28:Q72 O83:Q85">
    <cfRule type="expression" dxfId="62" priority="175" stopIfTrue="1">
      <formula>"esterreur(reference)"</formula>
    </cfRule>
  </conditionalFormatting>
  <conditionalFormatting sqref="Q75:Q82">
    <cfRule type="expression" dxfId="61" priority="201" stopIfTrue="1">
      <formula>"esterreur(reference)"</formula>
    </cfRule>
  </conditionalFormatting>
  <conditionalFormatting sqref="Q156:Q162">
    <cfRule type="expression" dxfId="60" priority="242" stopIfTrue="1">
      <formula>"esterreur(reference)"</formula>
    </cfRule>
  </conditionalFormatting>
  <conditionalFormatting sqref="Q198:Q209">
    <cfRule type="expression" dxfId="59" priority="251" stopIfTrue="1">
      <formula>"esterreur(reference)"</formula>
    </cfRule>
  </conditionalFormatting>
  <conditionalFormatting sqref="Q211:Q228">
    <cfRule type="expression" dxfId="58" priority="252" stopIfTrue="1">
      <formula>"esterreur(reference)"</formula>
    </cfRule>
  </conditionalFormatting>
  <conditionalFormatting sqref="Q254:Q265">
    <cfRule type="expression" dxfId="57" priority="285" stopIfTrue="1">
      <formula>"esterreur(reference)"</formula>
    </cfRule>
  </conditionalFormatting>
  <conditionalFormatting sqref="Q331:Q348">
    <cfRule type="expression" dxfId="56" priority="308" stopIfTrue="1">
      <formula>"esterreur(reference)"</formula>
    </cfRule>
  </conditionalFormatting>
  <conditionalFormatting sqref="R312">
    <cfRule type="expression" dxfId="55" priority="22" stopIfTrue="1">
      <formula>"esterreur(reference)"</formula>
    </cfRule>
  </conditionalFormatting>
  <conditionalFormatting sqref="S186">
    <cfRule type="expression" dxfId="54" priority="164" stopIfTrue="1">
      <formula>"esterreur(reference)"</formula>
    </cfRule>
  </conditionalFormatting>
  <conditionalFormatting sqref="AG409:AI418 AH420:AI432 AH434:AI451 AH453:AI460 AH461:AH462 AH463:AI465 AH467:AI467 AH491:AI497">
    <cfRule type="cellIs" dxfId="53" priority="23" operator="greaterThan">
      <formula>0</formula>
    </cfRule>
  </conditionalFormatting>
  <conditionalFormatting sqref="AH469:AI476 AH480:AI480">
    <cfRule type="cellIs" dxfId="52" priority="24" operator="lessThan">
      <formula>0</formula>
    </cfRule>
  </conditionalFormatting>
  <conditionalFormatting sqref="AH477:AI479">
    <cfRule type="cellIs" dxfId="51" priority="348" operator="greaterThan">
      <formula>0</formula>
    </cfRule>
  </conditionalFormatting>
  <conditionalFormatting sqref="AO409:AO418">
    <cfRule type="cellIs" dxfId="50" priority="165" operator="greaterThan">
      <formula>0</formula>
    </cfRule>
  </conditionalFormatting>
  <printOptions horizontalCentered="1"/>
  <pageMargins left="0.15748031496062992" right="0.15748031496062992" top="0.15748031496062992" bottom="0.31496062992125984" header="0" footer="0.23622047244094491"/>
  <pageSetup scale="44"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ignoredErrors>
    <ignoredError sqref="AF495:AF496 Z495:Z496"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998"/>
  <sheetViews>
    <sheetView topLeftCell="A64" workbookViewId="0">
      <selection activeCell="C84" sqref="C84"/>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39" t="str">
        <f>Parametres!$B$1&amp;" "&amp;"2 pager"&amp;" "&amp;Parametres!$B$3&amp;" "&amp;Parametres!$B$4</f>
        <v>Volks 2 pager Juillet 2025</v>
      </c>
      <c r="C1" s="1240"/>
      <c r="D1" s="1240"/>
      <c r="E1" s="1240"/>
      <c r="F1" s="1240"/>
      <c r="G1" s="1240"/>
      <c r="H1" s="1240"/>
      <c r="I1" s="1240"/>
      <c r="J1" s="1240"/>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3862</v>
      </c>
      <c r="H3" s="156" t="s">
        <v>288</v>
      </c>
      <c r="I3" s="158" t="s">
        <v>3863</v>
      </c>
      <c r="J3" s="154" t="s">
        <v>289</v>
      </c>
      <c r="K3" s="3"/>
      <c r="L3" s="3"/>
      <c r="M3" s="3"/>
      <c r="N3" s="3"/>
      <c r="O3" s="3"/>
      <c r="P3" s="3"/>
      <c r="Q3" s="3"/>
      <c r="R3" s="3"/>
      <c r="S3" s="3"/>
      <c r="T3" s="3"/>
      <c r="U3" s="3"/>
      <c r="V3" s="3"/>
      <c r="W3" s="3"/>
    </row>
    <row r="4" spans="1:23" ht="14.45" customHeight="1">
      <c r="A4" s="3"/>
      <c r="B4" s="159" t="s">
        <v>290</v>
      </c>
      <c r="C4" s="160">
        <f>+Print_Mois!$J$13+Print_Mois!$J$15</f>
        <v>81</v>
      </c>
      <c r="D4" s="160">
        <f>+Print_Mois!$D$13+Print_Mois!$D$15</f>
        <v>73</v>
      </c>
      <c r="E4" s="160">
        <f>+Print_Mois!$O$13+Print_Mois!$O$15</f>
        <v>80</v>
      </c>
      <c r="F4" s="161">
        <f t="shared" ref="F4:F15" si="0">+IFERROR($C4-D4,"")</f>
        <v>8</v>
      </c>
      <c r="G4" s="162">
        <f t="shared" ref="G4:G15" si="1">+IFERROR($C4-E4,"")</f>
        <v>1</v>
      </c>
      <c r="H4" s="163">
        <f t="shared" ref="H4:H15" si="2">+IFERROR(F4/ABS($D4),"")</f>
        <v>0.1095890410958904</v>
      </c>
      <c r="I4" s="164">
        <f t="shared" ref="I4:I15" si="3">+IFERROR(G4/ABS($E4),"")</f>
        <v>1.2500000000000001E-2</v>
      </c>
      <c r="J4" s="1236" t="s">
        <v>3921</v>
      </c>
      <c r="K4" s="3"/>
      <c r="L4" s="3"/>
      <c r="M4" s="3"/>
      <c r="N4" s="3"/>
      <c r="O4" s="3"/>
      <c r="P4" s="3"/>
      <c r="Q4" s="3"/>
      <c r="R4" s="3"/>
      <c r="S4" s="3"/>
      <c r="T4" s="3"/>
      <c r="U4" s="3"/>
      <c r="V4" s="3"/>
      <c r="W4" s="3"/>
    </row>
    <row r="5" spans="1:23">
      <c r="A5" s="3"/>
      <c r="B5" s="165" t="s">
        <v>291</v>
      </c>
      <c r="C5" s="166">
        <f>+Print_Mois!$L$13+Print_Mois!$L$15</f>
        <v>175033.64000000028</v>
      </c>
      <c r="D5" s="166">
        <f>+Print_Mois!$F$13+Print_Mois!$F$15</f>
        <v>165053.57665241003</v>
      </c>
      <c r="E5" s="166">
        <f>+Print_Mois!$Q$13+Print_Mois!$Q$15</f>
        <v>169860.0999999989</v>
      </c>
      <c r="F5" s="167">
        <f t="shared" si="0"/>
        <v>9980.0633475902432</v>
      </c>
      <c r="G5" s="168">
        <f t="shared" si="1"/>
        <v>5173.540000001376</v>
      </c>
      <c r="H5" s="170">
        <f t="shared" si="2"/>
        <v>6.0465598807395E-2</v>
      </c>
      <c r="I5" s="171">
        <f t="shared" si="3"/>
        <v>3.0457653092170613E-2</v>
      </c>
      <c r="J5" s="1237"/>
      <c r="K5" s="3"/>
      <c r="L5" s="3"/>
      <c r="M5" s="3"/>
      <c r="N5" s="3"/>
      <c r="O5" s="3"/>
      <c r="P5" s="3"/>
      <c r="Q5" s="3"/>
      <c r="R5" s="3"/>
      <c r="S5" s="3"/>
      <c r="T5" s="3"/>
      <c r="U5" s="3"/>
      <c r="V5" s="3"/>
      <c r="W5" s="3"/>
    </row>
    <row r="6" spans="1:23">
      <c r="A6" s="3"/>
      <c r="B6" s="165" t="s">
        <v>292</v>
      </c>
      <c r="C6" s="166">
        <f t="shared" ref="C6:E6" si="4">+C5/C4</f>
        <v>2160.9091358024725</v>
      </c>
      <c r="D6" s="166">
        <f t="shared" si="4"/>
        <v>2261.0078993480824</v>
      </c>
      <c r="E6" s="166">
        <f t="shared" si="4"/>
        <v>2123.2512499999862</v>
      </c>
      <c r="F6" s="167">
        <f t="shared" si="0"/>
        <v>-100.09876354560993</v>
      </c>
      <c r="G6" s="168">
        <f t="shared" si="1"/>
        <v>37.657885802486362</v>
      </c>
      <c r="H6" s="170">
        <f t="shared" si="2"/>
        <v>-4.4271744284693326E-2</v>
      </c>
      <c r="I6" s="171">
        <f t="shared" si="3"/>
        <v>1.7735953671279652E-2</v>
      </c>
      <c r="J6" s="1237"/>
      <c r="K6" s="3"/>
      <c r="L6" s="3"/>
      <c r="M6" s="3"/>
      <c r="N6" s="3"/>
      <c r="O6" s="3"/>
      <c r="P6" s="3"/>
      <c r="Q6" s="3"/>
      <c r="R6" s="3"/>
      <c r="S6" s="3"/>
      <c r="T6" s="3"/>
      <c r="U6" s="3"/>
      <c r="V6" s="3"/>
      <c r="W6" s="3"/>
    </row>
    <row r="7" spans="1:23">
      <c r="A7" s="3"/>
      <c r="B7" s="165" t="s">
        <v>293</v>
      </c>
      <c r="C7" s="166">
        <f>+Print_Mois!$L$31</f>
        <v>52285.66</v>
      </c>
      <c r="D7" s="166">
        <f>+Print_Mois!$F$31</f>
        <v>53662.555389000518</v>
      </c>
      <c r="E7" s="166">
        <f>+Print_Mois!$Q$31</f>
        <v>56983.01</v>
      </c>
      <c r="F7" s="167">
        <f t="shared" si="0"/>
        <v>-1376.8953890005141</v>
      </c>
      <c r="G7" s="168">
        <f t="shared" si="1"/>
        <v>-4697.3499999999985</v>
      </c>
      <c r="H7" s="170">
        <f t="shared" si="2"/>
        <v>-2.5658401449938095E-2</v>
      </c>
      <c r="I7" s="171">
        <f t="shared" si="3"/>
        <v>-8.2434220305315539E-2</v>
      </c>
      <c r="J7" s="1237"/>
      <c r="K7" s="3"/>
      <c r="L7" s="3"/>
      <c r="M7" s="3"/>
      <c r="N7" s="3"/>
      <c r="O7" s="3"/>
      <c r="P7" s="3"/>
      <c r="Q7" s="3"/>
      <c r="R7" s="3"/>
      <c r="S7" s="3"/>
      <c r="T7" s="3"/>
      <c r="U7" s="3"/>
      <c r="V7" s="3"/>
      <c r="W7" s="3"/>
    </row>
    <row r="8" spans="1:23">
      <c r="A8" s="3"/>
      <c r="B8" s="165" t="s">
        <v>294</v>
      </c>
      <c r="C8" s="169">
        <f t="shared" ref="C8:E8" si="5">+C7/C5</f>
        <v>0.2987177779082919</v>
      </c>
      <c r="D8" s="169">
        <f t="shared" si="5"/>
        <v>0.32512203902136383</v>
      </c>
      <c r="E8" s="169">
        <f t="shared" si="5"/>
        <v>0.33547024875176906</v>
      </c>
      <c r="F8" s="172">
        <f t="shared" si="0"/>
        <v>-2.6404261113071925E-2</v>
      </c>
      <c r="G8" s="173">
        <f t="shared" si="1"/>
        <v>-3.6752470843477159E-2</v>
      </c>
      <c r="H8" s="170">
        <f t="shared" si="2"/>
        <v>-8.121338434192367E-2</v>
      </c>
      <c r="I8" s="171">
        <f t="shared" si="3"/>
        <v>-0.10955508269429913</v>
      </c>
      <c r="J8" s="1237"/>
      <c r="K8" s="3"/>
      <c r="L8" s="3"/>
      <c r="M8" s="3"/>
      <c r="N8" s="3"/>
      <c r="O8" s="3"/>
      <c r="P8" s="3"/>
      <c r="Q8" s="3"/>
      <c r="R8" s="3"/>
      <c r="S8" s="3"/>
      <c r="T8" s="3"/>
      <c r="U8" s="3"/>
      <c r="V8" s="3"/>
      <c r="W8" s="3"/>
    </row>
    <row r="9" spans="1:23">
      <c r="A9" s="3"/>
      <c r="B9" s="165" t="s">
        <v>295</v>
      </c>
      <c r="C9" s="166">
        <f>+Print_Mois!$L$24</f>
        <v>80605.51999999999</v>
      </c>
      <c r="D9" s="166">
        <f>+Print_Mois!$F$24</f>
        <v>73000</v>
      </c>
      <c r="E9" s="166">
        <f>+Print_Mois!$Q$24</f>
        <v>61556.7</v>
      </c>
      <c r="F9" s="167">
        <f t="shared" si="0"/>
        <v>7605.5199999999895</v>
      </c>
      <c r="G9" s="168">
        <f t="shared" si="1"/>
        <v>19048.819999999992</v>
      </c>
      <c r="H9" s="170">
        <f t="shared" si="2"/>
        <v>0.10418520547945191</v>
      </c>
      <c r="I9" s="171">
        <f t="shared" si="3"/>
        <v>0.30945161127870718</v>
      </c>
      <c r="J9" s="1237"/>
      <c r="K9" s="3"/>
      <c r="L9" s="3"/>
      <c r="M9" s="3"/>
      <c r="N9" s="3"/>
      <c r="O9" s="3"/>
      <c r="P9" s="3"/>
      <c r="Q9" s="3"/>
      <c r="R9" s="3"/>
      <c r="S9" s="3"/>
      <c r="T9" s="3"/>
      <c r="U9" s="3"/>
      <c r="V9" s="3"/>
      <c r="W9" s="3"/>
    </row>
    <row r="10" spans="1:23">
      <c r="A10" s="3"/>
      <c r="B10" s="165" t="s">
        <v>296</v>
      </c>
      <c r="C10" s="166">
        <f t="shared" ref="C10:E10" si="6">+C9/C4</f>
        <v>995.12987654320978</v>
      </c>
      <c r="D10" s="166">
        <f t="shared" si="6"/>
        <v>1000</v>
      </c>
      <c r="E10" s="166">
        <f t="shared" si="6"/>
        <v>769.45875000000001</v>
      </c>
      <c r="F10" s="167">
        <f t="shared" si="0"/>
        <v>-4.8701234567902247</v>
      </c>
      <c r="G10" s="168">
        <f t="shared" si="1"/>
        <v>225.67112654320977</v>
      </c>
      <c r="H10" s="170">
        <f t="shared" si="2"/>
        <v>-4.8701234567902251E-3</v>
      </c>
      <c r="I10" s="171">
        <f t="shared" si="3"/>
        <v>0.29328554200366136</v>
      </c>
      <c r="J10" s="1237"/>
      <c r="K10" s="3"/>
      <c r="L10" s="3"/>
      <c r="M10" s="3"/>
      <c r="N10" s="3"/>
      <c r="O10" s="3"/>
      <c r="P10" s="3"/>
      <c r="Q10" s="3"/>
      <c r="R10" s="3"/>
      <c r="S10" s="3"/>
      <c r="T10" s="3"/>
      <c r="U10" s="3"/>
      <c r="V10" s="3"/>
      <c r="W10" s="3"/>
    </row>
    <row r="11" spans="1:23">
      <c r="A11" s="3"/>
      <c r="B11" s="165" t="s">
        <v>297</v>
      </c>
      <c r="C11" s="166">
        <f>+Print_Mois!$L$32</f>
        <v>20151.54</v>
      </c>
      <c r="D11" s="166">
        <f>+Print_Mois!$F$32</f>
        <v>20440.000000000004</v>
      </c>
      <c r="E11" s="166">
        <f>+Print_Mois!$Q$32</f>
        <v>16620.13</v>
      </c>
      <c r="F11" s="167">
        <f t="shared" si="0"/>
        <v>-288.46000000000276</v>
      </c>
      <c r="G11" s="168">
        <f t="shared" si="1"/>
        <v>3531.41</v>
      </c>
      <c r="H11" s="170">
        <f t="shared" si="2"/>
        <v>-1.4112524461839663E-2</v>
      </c>
      <c r="I11" s="171">
        <f t="shared" si="3"/>
        <v>0.2124778807385983</v>
      </c>
      <c r="J11" s="1237"/>
      <c r="K11" s="3"/>
      <c r="L11" s="3"/>
      <c r="M11" s="3"/>
      <c r="N11" s="3"/>
      <c r="O11" s="3"/>
      <c r="P11" s="3"/>
      <c r="Q11" s="3"/>
      <c r="R11" s="3"/>
      <c r="S11" s="3"/>
      <c r="T11" s="3"/>
      <c r="U11" s="3"/>
      <c r="V11" s="3"/>
      <c r="W11" s="3"/>
    </row>
    <row r="12" spans="1:23">
      <c r="A12" s="3"/>
      <c r="B12" s="165" t="s">
        <v>298</v>
      </c>
      <c r="C12" s="169">
        <f t="shared" ref="C12:E12" si="7">+C11/C9</f>
        <v>0.25000198497571885</v>
      </c>
      <c r="D12" s="169">
        <f t="shared" si="7"/>
        <v>0.28000000000000003</v>
      </c>
      <c r="E12" s="169">
        <f t="shared" si="7"/>
        <v>0.26999709211182538</v>
      </c>
      <c r="F12" s="170">
        <f t="shared" si="0"/>
        <v>-2.9998015024281177E-2</v>
      </c>
      <c r="G12" s="174">
        <f t="shared" si="1"/>
        <v>-1.9995107136106527E-2</v>
      </c>
      <c r="H12" s="170">
        <f t="shared" si="2"/>
        <v>-0.10713576794386134</v>
      </c>
      <c r="I12" s="171">
        <f t="shared" si="3"/>
        <v>-7.4056749943903474E-2</v>
      </c>
      <c r="J12" s="1237"/>
      <c r="K12" s="3"/>
      <c r="L12" s="3"/>
      <c r="M12" s="3"/>
      <c r="N12" s="3"/>
      <c r="O12" s="3"/>
      <c r="P12" s="3"/>
      <c r="Q12" s="3"/>
      <c r="R12" s="3"/>
      <c r="S12" s="3"/>
      <c r="T12" s="3"/>
      <c r="U12" s="3"/>
      <c r="V12" s="3"/>
      <c r="W12" s="3"/>
    </row>
    <row r="13" spans="1:23">
      <c r="A13" s="3"/>
      <c r="B13" s="165" t="s">
        <v>299</v>
      </c>
      <c r="C13" s="166">
        <f>+Print_Mois!$L$41-C7-C11</f>
        <v>38506.170000000006</v>
      </c>
      <c r="D13" s="166">
        <f>+Print_Mois!$F$41-D7-D11</f>
        <v>62983.219175232836</v>
      </c>
      <c r="E13" s="166">
        <f>+Print_Mois!$Q$41-E7-E11</f>
        <v>65063.749999999971</v>
      </c>
      <c r="F13" s="167">
        <f t="shared" si="0"/>
        <v>-24477.049175232831</v>
      </c>
      <c r="G13" s="168">
        <f t="shared" si="1"/>
        <v>-26557.579999999965</v>
      </c>
      <c r="H13" s="170">
        <f t="shared" si="2"/>
        <v>-0.38862810595838909</v>
      </c>
      <c r="I13" s="171">
        <f t="shared" si="3"/>
        <v>-0.40817782559412846</v>
      </c>
      <c r="J13" s="1237"/>
      <c r="K13" s="3"/>
      <c r="L13" s="3"/>
      <c r="M13" s="3"/>
      <c r="N13" s="3"/>
      <c r="O13" s="3"/>
      <c r="P13" s="3"/>
      <c r="Q13" s="3"/>
      <c r="R13" s="3"/>
      <c r="S13" s="3"/>
      <c r="T13" s="3"/>
      <c r="U13" s="3"/>
      <c r="V13" s="3"/>
      <c r="W13" s="3"/>
    </row>
    <row r="14" spans="1:23">
      <c r="A14" s="3"/>
      <c r="B14" s="165" t="s">
        <v>300</v>
      </c>
      <c r="C14" s="166">
        <f t="shared" ref="C14:E14" si="8">+C13/C4</f>
        <v>475.38481481481489</v>
      </c>
      <c r="D14" s="166">
        <f t="shared" si="8"/>
        <v>862.78382431825798</v>
      </c>
      <c r="E14" s="166">
        <f t="shared" si="8"/>
        <v>813.29687499999966</v>
      </c>
      <c r="F14" s="167">
        <f t="shared" si="0"/>
        <v>-387.3990095034431</v>
      </c>
      <c r="G14" s="168">
        <f t="shared" si="1"/>
        <v>-337.91206018518477</v>
      </c>
      <c r="H14" s="170">
        <f t="shared" si="2"/>
        <v>-0.44901051524644942</v>
      </c>
      <c r="I14" s="171">
        <f t="shared" si="3"/>
        <v>-0.41548427219173184</v>
      </c>
      <c r="J14" s="1237"/>
      <c r="K14" s="3"/>
      <c r="L14" s="3"/>
      <c r="M14" s="3"/>
      <c r="N14" s="3"/>
      <c r="O14" s="3"/>
      <c r="P14" s="3"/>
      <c r="Q14" s="3"/>
      <c r="R14" s="3"/>
      <c r="S14" s="3"/>
      <c r="T14" s="3"/>
      <c r="U14" s="3"/>
      <c r="V14" s="3"/>
      <c r="W14" s="3"/>
    </row>
    <row r="15" spans="1:23">
      <c r="A15" s="3"/>
      <c r="B15" s="165" t="s">
        <v>301</v>
      </c>
      <c r="C15" s="166">
        <f>+Print_Mois!$L$83</f>
        <v>134474.85</v>
      </c>
      <c r="D15" s="166">
        <f>+Print_Mois!$F$83</f>
        <v>140149.09363841044</v>
      </c>
      <c r="E15" s="166">
        <f>+Print_Mois!$Q$83</f>
        <v>181200</v>
      </c>
      <c r="F15" s="167">
        <f t="shared" si="0"/>
        <v>-5674.2436384104367</v>
      </c>
      <c r="G15" s="168">
        <f t="shared" si="1"/>
        <v>-46725.149999999994</v>
      </c>
      <c r="H15" s="170">
        <f t="shared" si="2"/>
        <v>-4.0487194680332246E-2</v>
      </c>
      <c r="I15" s="171">
        <f t="shared" si="3"/>
        <v>-0.25786506622516553</v>
      </c>
      <c r="J15" s="1237"/>
      <c r="K15" s="3"/>
      <c r="L15" s="3"/>
      <c r="M15" s="3"/>
      <c r="N15" s="3"/>
      <c r="O15" s="3"/>
      <c r="P15" s="3"/>
      <c r="Q15" s="3"/>
      <c r="R15" s="3"/>
      <c r="S15" s="3"/>
      <c r="T15" s="3"/>
      <c r="U15" s="3"/>
      <c r="V15" s="3"/>
      <c r="W15" s="3"/>
    </row>
    <row r="16" spans="1:23" ht="15" hidden="1" customHeight="1">
      <c r="A16" s="3"/>
      <c r="B16" s="175" t="s">
        <v>302</v>
      </c>
      <c r="C16" s="176"/>
      <c r="D16" s="176"/>
      <c r="E16" s="176"/>
      <c r="F16" s="177"/>
      <c r="G16" s="178"/>
      <c r="H16" s="179"/>
      <c r="I16" s="180"/>
      <c r="J16" s="1237"/>
      <c r="K16" s="3"/>
      <c r="L16" s="3"/>
      <c r="M16" s="3"/>
      <c r="N16" s="3"/>
      <c r="O16" s="3"/>
      <c r="P16" s="3"/>
      <c r="Q16" s="3"/>
      <c r="R16" s="3"/>
      <c r="S16" s="3"/>
      <c r="T16" s="3"/>
      <c r="U16" s="3"/>
      <c r="V16" s="3"/>
      <c r="W16" s="3"/>
    </row>
    <row r="17" spans="1:23" ht="15" hidden="1" customHeight="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37"/>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38"/>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28</v>
      </c>
      <c r="D21" s="160">
        <f>+Print_Mois!$D$97</f>
        <v>34</v>
      </c>
      <c r="E21" s="160">
        <f>+Print_Mois!$O$97</f>
        <v>30</v>
      </c>
      <c r="F21" s="161">
        <f t="shared" ref="F21:F32" si="11">+IFERROR($C21-D21,"")</f>
        <v>-6</v>
      </c>
      <c r="G21" s="162">
        <f t="shared" ref="G21:G32" si="12">+IFERROR($C21-E21,"")</f>
        <v>-2</v>
      </c>
      <c r="H21" s="163">
        <f t="shared" ref="H21:H32" si="13">+IFERROR(F21/ABS($D21),"")</f>
        <v>-0.17647058823529413</v>
      </c>
      <c r="I21" s="164">
        <f t="shared" ref="I21:I32" si="14">+IFERROR(G21/ABS($E21),"")</f>
        <v>-6.6666666666666666E-2</v>
      </c>
      <c r="J21" s="1236" t="s">
        <v>3922</v>
      </c>
      <c r="K21" s="3"/>
      <c r="L21" s="3"/>
      <c r="M21" s="3"/>
      <c r="N21" s="3"/>
      <c r="O21" s="3"/>
      <c r="P21" s="3"/>
      <c r="Q21" s="3"/>
      <c r="R21" s="3"/>
      <c r="S21" s="3"/>
      <c r="T21" s="3"/>
      <c r="U21" s="3"/>
      <c r="V21" s="3"/>
      <c r="W21" s="3"/>
    </row>
    <row r="22" spans="1:23" ht="15.75" customHeight="1">
      <c r="A22" s="3"/>
      <c r="B22" s="165" t="s">
        <v>291</v>
      </c>
      <c r="C22" s="166">
        <f>+Print_Mois!$L$97</f>
        <v>28137.839999999967</v>
      </c>
      <c r="D22" s="166">
        <f>+Print_Mois!$F$97</f>
        <v>49300</v>
      </c>
      <c r="E22" s="166">
        <f>+Print_Mois!$Q$97</f>
        <v>47431.879999999888</v>
      </c>
      <c r="F22" s="167">
        <f t="shared" si="11"/>
        <v>-21162.160000000033</v>
      </c>
      <c r="G22" s="168">
        <f t="shared" si="12"/>
        <v>-19294.039999999921</v>
      </c>
      <c r="H22" s="170">
        <f t="shared" si="13"/>
        <v>-0.42925273833671468</v>
      </c>
      <c r="I22" s="171">
        <f t="shared" si="14"/>
        <v>-0.40677367205347892</v>
      </c>
      <c r="J22" s="1237"/>
      <c r="K22" s="3"/>
      <c r="L22" s="3"/>
      <c r="M22" s="3"/>
      <c r="N22" s="3"/>
      <c r="O22" s="3"/>
      <c r="P22" s="3"/>
      <c r="Q22" s="3"/>
      <c r="R22" s="3"/>
      <c r="S22" s="3"/>
      <c r="T22" s="3"/>
      <c r="U22" s="3"/>
      <c r="V22" s="3"/>
      <c r="W22" s="3"/>
    </row>
    <row r="23" spans="1:23" ht="15.75" customHeight="1">
      <c r="A23" s="3"/>
      <c r="B23" s="165" t="s">
        <v>292</v>
      </c>
      <c r="C23" s="166">
        <f t="shared" ref="C23:E23" si="15">+C22/C21</f>
        <v>1004.9228571428559</v>
      </c>
      <c r="D23" s="166">
        <f t="shared" si="15"/>
        <v>1450</v>
      </c>
      <c r="E23" s="166">
        <f t="shared" si="15"/>
        <v>1581.0626666666628</v>
      </c>
      <c r="F23" s="167">
        <f t="shared" si="11"/>
        <v>-445.07714285714405</v>
      </c>
      <c r="G23" s="168">
        <f t="shared" si="12"/>
        <v>-576.13980952380689</v>
      </c>
      <c r="H23" s="170">
        <f t="shared" si="13"/>
        <v>-0.30694975369458211</v>
      </c>
      <c r="I23" s="171">
        <f t="shared" si="14"/>
        <v>-0.36440036291444167</v>
      </c>
      <c r="J23" s="1237"/>
      <c r="K23" s="3"/>
      <c r="L23" s="3"/>
      <c r="M23" s="3"/>
      <c r="N23" s="3"/>
      <c r="O23" s="3"/>
      <c r="P23" s="3"/>
      <c r="Q23" s="3"/>
      <c r="R23" s="3"/>
      <c r="S23" s="3"/>
      <c r="T23" s="3"/>
      <c r="U23" s="3"/>
      <c r="V23" s="3"/>
      <c r="W23" s="3"/>
    </row>
    <row r="24" spans="1:23" ht="15.75" customHeight="1">
      <c r="A24" s="3"/>
      <c r="B24" s="165" t="s">
        <v>293</v>
      </c>
      <c r="C24" s="166">
        <f>+Print_Mois!$L$112</f>
        <v>12008.3</v>
      </c>
      <c r="D24" s="166">
        <f>+Print_Mois!$F$112</f>
        <v>16644.204851752023</v>
      </c>
      <c r="E24" s="166">
        <f>+Print_Mois!$Q$112</f>
        <v>15040.14</v>
      </c>
      <c r="F24" s="167">
        <f t="shared" si="11"/>
        <v>-4635.9048517520241</v>
      </c>
      <c r="G24" s="168">
        <f t="shared" si="12"/>
        <v>-3031.84</v>
      </c>
      <c r="H24" s="170">
        <f t="shared" si="13"/>
        <v>-0.27852966801619444</v>
      </c>
      <c r="I24" s="171">
        <f t="shared" si="14"/>
        <v>-0.2015832299433383</v>
      </c>
      <c r="J24" s="1237"/>
      <c r="K24" s="3"/>
      <c r="L24" s="3"/>
      <c r="M24" s="3"/>
      <c r="N24" s="3"/>
      <c r="O24" s="3"/>
      <c r="P24" s="3"/>
      <c r="Q24" s="3"/>
      <c r="R24" s="3"/>
      <c r="S24" s="3"/>
      <c r="T24" s="3"/>
      <c r="U24" s="3"/>
      <c r="V24" s="3"/>
      <c r="W24" s="3"/>
    </row>
    <row r="25" spans="1:23" ht="15.75" customHeight="1">
      <c r="A25" s="3"/>
      <c r="B25" s="165" t="s">
        <v>294</v>
      </c>
      <c r="C25" s="169">
        <f t="shared" ref="C25:E25" si="16">+C24/C22</f>
        <v>0.42676694444207564</v>
      </c>
      <c r="D25" s="169">
        <f t="shared" si="16"/>
        <v>0.33761064608016272</v>
      </c>
      <c r="E25" s="169">
        <f t="shared" si="16"/>
        <v>0.31708926570062235</v>
      </c>
      <c r="F25" s="172">
        <f t="shared" si="11"/>
        <v>8.9156298361912911E-2</v>
      </c>
      <c r="G25" s="173">
        <f t="shared" si="12"/>
        <v>0.10967767874145329</v>
      </c>
      <c r="H25" s="170">
        <f t="shared" si="13"/>
        <v>0.26408023383463897</v>
      </c>
      <c r="I25" s="171">
        <f t="shared" si="14"/>
        <v>0.34588896757231991</v>
      </c>
      <c r="J25" s="1237"/>
      <c r="K25" s="3"/>
      <c r="L25" s="3"/>
      <c r="M25" s="3"/>
      <c r="N25" s="3"/>
      <c r="O25" s="3"/>
      <c r="P25" s="3"/>
      <c r="Q25" s="3"/>
      <c r="R25" s="3"/>
      <c r="S25" s="3"/>
      <c r="T25" s="3"/>
      <c r="U25" s="3"/>
      <c r="V25" s="3"/>
      <c r="W25" s="3"/>
    </row>
    <row r="26" spans="1:23" ht="15.75" customHeight="1">
      <c r="A26" s="3"/>
      <c r="B26" s="165" t="s">
        <v>295</v>
      </c>
      <c r="C26" s="166">
        <f>+Print_Mois!$L$105</f>
        <v>67537.05</v>
      </c>
      <c r="D26" s="166">
        <f>+Print_Mois!$F$105</f>
        <v>64600</v>
      </c>
      <c r="E26" s="166">
        <f>+Print_Mois!$Q$105</f>
        <v>57243.64</v>
      </c>
      <c r="F26" s="167">
        <f t="shared" si="11"/>
        <v>2937.0500000000029</v>
      </c>
      <c r="G26" s="168">
        <f t="shared" si="12"/>
        <v>10293.410000000003</v>
      </c>
      <c r="H26" s="170">
        <f t="shared" si="13"/>
        <v>4.5465170278637813E-2</v>
      </c>
      <c r="I26" s="171">
        <f t="shared" si="14"/>
        <v>0.17981753082089125</v>
      </c>
      <c r="J26" s="1237"/>
      <c r="K26" s="3"/>
      <c r="L26" s="3"/>
      <c r="M26" s="3"/>
      <c r="N26" s="3"/>
      <c r="O26" s="3"/>
      <c r="P26" s="3"/>
      <c r="Q26" s="3"/>
      <c r="R26" s="3"/>
      <c r="S26" s="3"/>
      <c r="T26" s="3"/>
      <c r="U26" s="3"/>
      <c r="V26" s="3"/>
      <c r="W26" s="3"/>
    </row>
    <row r="27" spans="1:23" ht="15.75" customHeight="1">
      <c r="A27" s="3"/>
      <c r="B27" s="165" t="s">
        <v>296</v>
      </c>
      <c r="C27" s="166">
        <f t="shared" ref="C27:E27" si="17">+C26/C21</f>
        <v>2412.0374999999999</v>
      </c>
      <c r="D27" s="166">
        <f t="shared" si="17"/>
        <v>1900</v>
      </c>
      <c r="E27" s="166">
        <f t="shared" si="17"/>
        <v>1908.1213333333333</v>
      </c>
      <c r="F27" s="167">
        <f t="shared" si="11"/>
        <v>512.03749999999991</v>
      </c>
      <c r="G27" s="168">
        <f t="shared" si="12"/>
        <v>503.91616666666664</v>
      </c>
      <c r="H27" s="170">
        <f t="shared" si="13"/>
        <v>0.26949342105263152</v>
      </c>
      <c r="I27" s="171">
        <f t="shared" si="14"/>
        <v>0.26409021159381196</v>
      </c>
      <c r="J27" s="1237"/>
      <c r="K27" s="3"/>
      <c r="L27" s="3"/>
      <c r="M27" s="3"/>
      <c r="N27" s="3"/>
      <c r="O27" s="3"/>
      <c r="P27" s="3"/>
      <c r="Q27" s="3"/>
      <c r="R27" s="3"/>
      <c r="S27" s="3"/>
      <c r="T27" s="3"/>
      <c r="U27" s="3"/>
      <c r="V27" s="3"/>
      <c r="W27" s="3"/>
    </row>
    <row r="28" spans="1:23" ht="15.75" customHeight="1">
      <c r="A28" s="3"/>
      <c r="B28" s="165" t="s">
        <v>297</v>
      </c>
      <c r="C28" s="166">
        <f>+Print_Mois!$L$113</f>
        <v>20164.34</v>
      </c>
      <c r="D28" s="166">
        <f>+Print_Mois!$F$113</f>
        <v>19380</v>
      </c>
      <c r="E28" s="166">
        <f>+Print_Mois!$Q$113</f>
        <v>17173.36</v>
      </c>
      <c r="F28" s="167">
        <f t="shared" si="11"/>
        <v>784.34000000000015</v>
      </c>
      <c r="G28" s="168">
        <f t="shared" si="12"/>
        <v>2990.9799999999996</v>
      </c>
      <c r="H28" s="170">
        <f t="shared" si="13"/>
        <v>4.0471620227038194E-2</v>
      </c>
      <c r="I28" s="171">
        <f t="shared" si="14"/>
        <v>0.17416393763363719</v>
      </c>
      <c r="J28" s="1237"/>
      <c r="K28" s="3"/>
      <c r="L28" s="3"/>
      <c r="M28" s="3"/>
      <c r="N28" s="3"/>
      <c r="O28" s="3"/>
      <c r="P28" s="3"/>
      <c r="Q28" s="3"/>
      <c r="R28" s="3"/>
      <c r="S28" s="3"/>
      <c r="T28" s="3"/>
      <c r="U28" s="3"/>
      <c r="V28" s="3"/>
      <c r="W28" s="3"/>
    </row>
    <row r="29" spans="1:23" ht="15.75" customHeight="1">
      <c r="A29" s="3"/>
      <c r="B29" s="165" t="s">
        <v>298</v>
      </c>
      <c r="C29" s="169">
        <f t="shared" ref="C29:E29" si="18">+C28/C26</f>
        <v>0.29856708280862132</v>
      </c>
      <c r="D29" s="169">
        <f t="shared" si="18"/>
        <v>0.3</v>
      </c>
      <c r="E29" s="169">
        <f t="shared" si="18"/>
        <v>0.3000046817428102</v>
      </c>
      <c r="F29" s="170">
        <f t="shared" si="11"/>
        <v>-1.4329171913786687E-3</v>
      </c>
      <c r="G29" s="174">
        <f t="shared" si="12"/>
        <v>-1.4375989341888773E-3</v>
      </c>
      <c r="H29" s="170">
        <f t="shared" si="13"/>
        <v>-4.7763906379288956E-3</v>
      </c>
      <c r="I29" s="171">
        <f t="shared" si="14"/>
        <v>-4.7919216654802432E-3</v>
      </c>
      <c r="J29" s="1237"/>
      <c r="K29" s="3"/>
      <c r="L29" s="3"/>
      <c r="M29" s="3"/>
      <c r="N29" s="3"/>
      <c r="O29" s="3"/>
      <c r="P29" s="3"/>
      <c r="Q29" s="3"/>
      <c r="R29" s="3"/>
      <c r="S29" s="3"/>
      <c r="T29" s="3"/>
      <c r="U29" s="3"/>
      <c r="V29" s="3"/>
      <c r="W29" s="3"/>
    </row>
    <row r="30" spans="1:23" ht="15.75" customHeight="1">
      <c r="A30" s="3"/>
      <c r="B30" s="165" t="s">
        <v>299</v>
      </c>
      <c r="C30" s="166">
        <f>+Print_Mois!$L$122-C24-C28</f>
        <v>20250.55</v>
      </c>
      <c r="D30" s="166">
        <f>+Print_Mois!$F$122-D24-D28</f>
        <v>26365.459537572257</v>
      </c>
      <c r="E30" s="166">
        <f>+Print_Mois!$Q$122-E24-E28</f>
        <v>22458.869999999995</v>
      </c>
      <c r="F30" s="167">
        <f t="shared" si="11"/>
        <v>-6114.9095375722572</v>
      </c>
      <c r="G30" s="168">
        <f t="shared" si="12"/>
        <v>-2208.3199999999961</v>
      </c>
      <c r="H30" s="170">
        <f t="shared" si="13"/>
        <v>-0.23192880552141215</v>
      </c>
      <c r="I30" s="171">
        <f t="shared" si="14"/>
        <v>-9.8327297856036236E-2</v>
      </c>
      <c r="J30" s="1237"/>
      <c r="K30" s="3"/>
      <c r="L30" s="3"/>
      <c r="M30" s="3"/>
      <c r="N30" s="3"/>
      <c r="O30" s="3"/>
      <c r="P30" s="3"/>
      <c r="Q30" s="3"/>
      <c r="R30" s="3"/>
      <c r="S30" s="3"/>
      <c r="T30" s="3"/>
      <c r="U30" s="3"/>
      <c r="V30" s="3"/>
      <c r="W30" s="3"/>
    </row>
    <row r="31" spans="1:23" ht="15.75" customHeight="1">
      <c r="A31" s="3"/>
      <c r="B31" s="165" t="s">
        <v>300</v>
      </c>
      <c r="C31" s="166">
        <f t="shared" ref="C31:E31" si="19">+C30/C21</f>
        <v>723.23392857142858</v>
      </c>
      <c r="D31" s="166">
        <f t="shared" si="19"/>
        <v>775.45469228153695</v>
      </c>
      <c r="E31" s="166">
        <f t="shared" si="19"/>
        <v>748.62899999999979</v>
      </c>
      <c r="F31" s="167">
        <f t="shared" si="11"/>
        <v>-52.220763710108372</v>
      </c>
      <c r="G31" s="168">
        <f t="shared" si="12"/>
        <v>-25.395071428571214</v>
      </c>
      <c r="H31" s="170">
        <f t="shared" si="13"/>
        <v>-6.734212099028615E-2</v>
      </c>
      <c r="I31" s="171">
        <f t="shared" si="14"/>
        <v>-3.3922104845752997E-2</v>
      </c>
      <c r="J31" s="1237"/>
      <c r="K31" s="3"/>
      <c r="L31" s="3"/>
      <c r="M31" s="3"/>
      <c r="N31" s="3"/>
      <c r="O31" s="3"/>
      <c r="P31" s="3"/>
      <c r="Q31" s="3"/>
      <c r="R31" s="3"/>
      <c r="S31" s="3"/>
      <c r="T31" s="3"/>
      <c r="U31" s="3"/>
      <c r="V31" s="3"/>
      <c r="W31" s="3"/>
    </row>
    <row r="32" spans="1:23" ht="15.75" customHeight="1">
      <c r="A32" s="3"/>
      <c r="B32" s="165" t="s">
        <v>301</v>
      </c>
      <c r="C32" s="166">
        <f>+Print_Mois!$L$163</f>
        <v>12504</v>
      </c>
      <c r="D32" s="166">
        <f>+Print_Mois!$F$163</f>
        <v>12887.699999999999</v>
      </c>
      <c r="E32" s="166">
        <f>+Print_Mois!$Q$163</f>
        <v>12594</v>
      </c>
      <c r="F32" s="167">
        <f t="shared" si="11"/>
        <v>-383.69999999999891</v>
      </c>
      <c r="G32" s="168">
        <f t="shared" si="12"/>
        <v>-90</v>
      </c>
      <c r="H32" s="170">
        <f t="shared" si="13"/>
        <v>-2.9772573849484309E-2</v>
      </c>
      <c r="I32" s="171">
        <f t="shared" si="14"/>
        <v>-7.146260123868509E-3</v>
      </c>
      <c r="J32" s="123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3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3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3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337642.8</v>
      </c>
      <c r="D38" s="200">
        <f>+Print_Mois!$E$194</f>
        <v>304520.43140000006</v>
      </c>
      <c r="E38" s="200">
        <f>+Print_Mois!$P$194</f>
        <v>289832.11999999988</v>
      </c>
      <c r="F38" s="201">
        <f t="shared" ref="F38:F47" si="22">+IFERROR($C38-D38,"")</f>
        <v>33122.368599999929</v>
      </c>
      <c r="G38" s="202">
        <f t="shared" ref="G38:G47" si="23">+IFERROR($C38-E38,"")</f>
        <v>47810.680000000109</v>
      </c>
      <c r="H38" s="163">
        <f t="shared" ref="H38:H47" si="24">+IFERROR(F38/ABS($D38),"")</f>
        <v>0.10876895335962644</v>
      </c>
      <c r="I38" s="164">
        <f t="shared" ref="I38:I47" si="25">+IFERROR(G38/ABS($E38),"")</f>
        <v>0.16495990851531614</v>
      </c>
      <c r="J38" s="1236" t="s">
        <v>3923</v>
      </c>
      <c r="K38" s="3"/>
      <c r="L38" s="3"/>
      <c r="M38" s="3"/>
      <c r="N38" s="3"/>
      <c r="O38" s="3"/>
      <c r="P38" s="3"/>
      <c r="Q38" s="3"/>
      <c r="R38" s="3"/>
      <c r="S38" s="3"/>
      <c r="T38" s="3"/>
      <c r="U38" s="3"/>
      <c r="V38" s="3"/>
      <c r="W38" s="3"/>
    </row>
    <row r="39" spans="1:23" ht="15.75" customHeight="1">
      <c r="A39" s="3"/>
      <c r="B39" s="159" t="s">
        <v>306</v>
      </c>
      <c r="C39" s="200">
        <f>+Print_Mois!$L$194</f>
        <v>241303.18</v>
      </c>
      <c r="D39" s="200">
        <f>+Print_Mois!$F$194</f>
        <v>212692.64035970636</v>
      </c>
      <c r="E39" s="200">
        <f>+Print_Mois!$Q$194</f>
        <v>207116.95999999979</v>
      </c>
      <c r="F39" s="201">
        <f t="shared" si="22"/>
        <v>28610.539640293631</v>
      </c>
      <c r="G39" s="202">
        <f t="shared" si="23"/>
        <v>34186.220000000205</v>
      </c>
      <c r="H39" s="203">
        <f t="shared" si="24"/>
        <v>0.13451588918124957</v>
      </c>
      <c r="I39" s="204">
        <f t="shared" si="25"/>
        <v>0.16505755974788466</v>
      </c>
      <c r="J39" s="1237"/>
      <c r="K39" s="3"/>
      <c r="L39" s="3"/>
      <c r="M39" s="3"/>
      <c r="N39" s="3"/>
      <c r="O39" s="3"/>
      <c r="P39" s="3"/>
      <c r="Q39" s="3"/>
      <c r="R39" s="3"/>
      <c r="S39" s="3"/>
      <c r="T39" s="3"/>
      <c r="U39" s="3"/>
      <c r="V39" s="3"/>
      <c r="W39" s="3"/>
    </row>
    <row r="40" spans="1:23" ht="15.75" customHeight="1">
      <c r="A40" s="3"/>
      <c r="B40" s="165" t="s">
        <v>307</v>
      </c>
      <c r="C40" s="166">
        <f>+Print_Mois!$K$172/Print_Mois!$J$172</f>
        <v>338.76512437810948</v>
      </c>
      <c r="D40" s="166">
        <f>+IFERROR(Print_Mois!$E$172/Print_Mois!$D$172,"")</f>
        <v>340</v>
      </c>
      <c r="E40" s="166">
        <f>+Print_Mois!$P$172/Print_Mois!$O$172</f>
        <v>387.01668674698794</v>
      </c>
      <c r="F40" s="167">
        <f t="shared" si="22"/>
        <v>-1.2348756218905237</v>
      </c>
      <c r="G40" s="168">
        <f t="shared" si="23"/>
        <v>-48.251562368878467</v>
      </c>
      <c r="H40" s="170">
        <f t="shared" si="24"/>
        <v>-3.6319871232074227E-3</v>
      </c>
      <c r="I40" s="171">
        <f t="shared" si="25"/>
        <v>-0.12467566392149626</v>
      </c>
      <c r="J40" s="1237"/>
      <c r="K40" s="3"/>
      <c r="L40" s="3"/>
      <c r="M40" s="3"/>
      <c r="N40" s="3"/>
      <c r="O40" s="3"/>
      <c r="P40" s="3"/>
      <c r="Q40" s="3"/>
      <c r="R40" s="3"/>
      <c r="S40" s="3"/>
      <c r="T40" s="3"/>
      <c r="U40" s="3"/>
      <c r="V40" s="3"/>
      <c r="W40" s="3"/>
    </row>
    <row r="41" spans="1:23" ht="15.75" customHeight="1">
      <c r="A41" s="3"/>
      <c r="B41" s="165" t="s">
        <v>308</v>
      </c>
      <c r="C41" s="166">
        <f>+Print_Mois!$K$175/Print_Mois!$J$175</f>
        <v>324.71142180094785</v>
      </c>
      <c r="D41" s="166">
        <f>+IFERROR(Print_Mois!$E$175/Print_Mois!$D$175,"")</f>
        <v>269.99999999999994</v>
      </c>
      <c r="E41" s="166">
        <f>+Print_Mois!$P$175/Print_Mois!$O$175</f>
        <v>339.96527559055113</v>
      </c>
      <c r="F41" s="167">
        <f t="shared" si="22"/>
        <v>54.711421800947903</v>
      </c>
      <c r="G41" s="168">
        <f t="shared" si="23"/>
        <v>-15.253853789603284</v>
      </c>
      <c r="H41" s="170">
        <f t="shared" si="24"/>
        <v>0.20263489555906636</v>
      </c>
      <c r="I41" s="171">
        <f t="shared" si="25"/>
        <v>-4.4868858335916598E-2</v>
      </c>
      <c r="J41" s="1237"/>
      <c r="K41" s="3"/>
      <c r="L41" s="3"/>
      <c r="M41" s="3"/>
      <c r="N41" s="3"/>
      <c r="O41" s="3"/>
      <c r="P41" s="3"/>
      <c r="Q41" s="3"/>
      <c r="R41" s="3"/>
      <c r="S41" s="3"/>
      <c r="T41" s="3"/>
      <c r="U41" s="3"/>
      <c r="V41" s="3"/>
      <c r="W41" s="3"/>
    </row>
    <row r="42" spans="1:23" ht="15.75" customHeight="1">
      <c r="A42" s="3"/>
      <c r="B42" s="165" t="s">
        <v>309</v>
      </c>
      <c r="C42" s="166">
        <f>+Print_Mois!$L$184</f>
        <v>-1154.1300000000001</v>
      </c>
      <c r="D42" s="166">
        <f>+Print_Mois!$F$184</f>
        <v>-3339.351196293635</v>
      </c>
      <c r="E42" s="166">
        <f>+Print_Mois!$Q$184</f>
        <v>-1170.23</v>
      </c>
      <c r="F42" s="167">
        <f t="shared" si="22"/>
        <v>2185.2211962936349</v>
      </c>
      <c r="G42" s="168">
        <f t="shared" si="23"/>
        <v>16.099999999999909</v>
      </c>
      <c r="H42" s="170">
        <f t="shared" si="24"/>
        <v>0.65438495918579165</v>
      </c>
      <c r="I42" s="171">
        <f t="shared" si="25"/>
        <v>1.3757979200669877E-2</v>
      </c>
      <c r="J42" s="1237"/>
      <c r="K42" s="3"/>
      <c r="L42" s="3"/>
      <c r="M42" s="3"/>
      <c r="N42" s="3"/>
      <c r="O42" s="3"/>
      <c r="P42" s="3"/>
      <c r="Q42" s="3"/>
      <c r="R42" s="3"/>
      <c r="S42" s="3"/>
      <c r="T42" s="3"/>
      <c r="U42" s="3"/>
      <c r="V42" s="3"/>
      <c r="W42" s="3"/>
    </row>
    <row r="43" spans="1:23" ht="15.75" customHeight="1">
      <c r="A43" s="3"/>
      <c r="B43" s="165" t="s">
        <v>310</v>
      </c>
      <c r="C43" s="166">
        <f>+Print_Mois!$L$210</f>
        <v>108311.01</v>
      </c>
      <c r="D43" s="166">
        <f>+Print_Mois!$F$210</f>
        <v>117062.60687574693</v>
      </c>
      <c r="E43" s="166">
        <f>+Print_Mois!$Q$210</f>
        <v>109232.29</v>
      </c>
      <c r="F43" s="167">
        <f t="shared" si="22"/>
        <v>-8751.5968757469382</v>
      </c>
      <c r="G43" s="168">
        <f t="shared" si="23"/>
        <v>-921.27999999999884</v>
      </c>
      <c r="H43" s="170">
        <f t="shared" si="24"/>
        <v>-7.4759969125205744E-2</v>
      </c>
      <c r="I43" s="171">
        <f t="shared" si="25"/>
        <v>-8.4341360965699691E-3</v>
      </c>
      <c r="J43" s="1237"/>
      <c r="K43" s="3"/>
      <c r="L43" s="3"/>
      <c r="M43" s="3"/>
      <c r="N43" s="3"/>
      <c r="O43" s="3"/>
      <c r="P43" s="3"/>
      <c r="Q43" s="3"/>
      <c r="R43" s="3"/>
      <c r="S43" s="3"/>
      <c r="T43" s="3"/>
      <c r="U43" s="3"/>
      <c r="V43" s="3"/>
      <c r="W43" s="3"/>
    </row>
    <row r="44" spans="1:23" ht="15.75" customHeight="1">
      <c r="A44" s="3"/>
      <c r="B44" s="181" t="s">
        <v>311</v>
      </c>
      <c r="C44" s="166">
        <f>+SUM(Print_Mois!$L$198:$L$204)</f>
        <v>59281.8</v>
      </c>
      <c r="D44" s="166">
        <f>+SUM(Print_Mois!$F$198:$F$204)</f>
        <v>66392.85791692308</v>
      </c>
      <c r="E44" s="166">
        <f>+SUM(Print_Mois!$Q$198:$Q$204)</f>
        <v>58735.180000000008</v>
      </c>
      <c r="F44" s="167">
        <f t="shared" si="22"/>
        <v>-7111.0579169230768</v>
      </c>
      <c r="G44" s="168">
        <f t="shared" si="23"/>
        <v>546.61999999999534</v>
      </c>
      <c r="H44" s="170">
        <f t="shared" si="24"/>
        <v>-0.10710576619281993</v>
      </c>
      <c r="I44" s="171">
        <f t="shared" si="25"/>
        <v>9.3065178313915999E-3</v>
      </c>
      <c r="J44" s="1237"/>
      <c r="K44" s="3"/>
      <c r="L44" s="3"/>
      <c r="M44" s="3"/>
      <c r="N44" s="3"/>
      <c r="O44" s="3"/>
      <c r="P44" s="3"/>
      <c r="Q44" s="3"/>
      <c r="R44" s="3"/>
      <c r="S44" s="3"/>
      <c r="T44" s="3"/>
      <c r="U44" s="3"/>
      <c r="V44" s="3"/>
      <c r="W44" s="3"/>
    </row>
    <row r="45" spans="1:23">
      <c r="A45" s="3"/>
      <c r="B45" s="181" t="s">
        <v>312</v>
      </c>
      <c r="C45" s="166">
        <f>+SUM(Print_Mois!$L$205:$L$209)</f>
        <v>49029.21</v>
      </c>
      <c r="D45" s="166">
        <f>+SUM(Print_Mois!$F$205:$F$209)</f>
        <v>50669.748958823853</v>
      </c>
      <c r="E45" s="166">
        <f>+SUM(Print_Mois!$Q$205:$Q$209)</f>
        <v>50497.11</v>
      </c>
      <c r="F45" s="167">
        <f t="shared" si="22"/>
        <v>-1640.538958823854</v>
      </c>
      <c r="G45" s="168">
        <f t="shared" si="23"/>
        <v>-1467.9000000000015</v>
      </c>
      <c r="H45" s="170">
        <f t="shared" si="24"/>
        <v>-3.2377088746917172E-2</v>
      </c>
      <c r="I45" s="171">
        <f t="shared" si="25"/>
        <v>-2.9068990284790583E-2</v>
      </c>
      <c r="J45" s="1237"/>
      <c r="K45" s="3"/>
      <c r="L45" s="3"/>
      <c r="M45" s="3"/>
      <c r="N45" s="3"/>
      <c r="O45" s="3"/>
      <c r="P45" s="3"/>
      <c r="Q45" s="3"/>
      <c r="R45" s="3"/>
      <c r="S45" s="3"/>
      <c r="T45" s="3"/>
      <c r="U45" s="3"/>
      <c r="V45" s="3"/>
      <c r="W45" s="3"/>
    </row>
    <row r="46" spans="1:23">
      <c r="A46" s="3"/>
      <c r="B46" s="165" t="s">
        <v>313</v>
      </c>
      <c r="C46" s="169">
        <f t="shared" ref="C46:E46" si="26">+C43/C38</f>
        <v>0.32078578308200262</v>
      </c>
      <c r="D46" s="169">
        <f t="shared" si="26"/>
        <v>0.3844162650682062</v>
      </c>
      <c r="E46" s="169">
        <f t="shared" si="26"/>
        <v>0.37688124421820479</v>
      </c>
      <c r="F46" s="172">
        <f t="shared" si="22"/>
        <v>-6.363048198620358E-2</v>
      </c>
      <c r="G46" s="173">
        <f t="shared" si="23"/>
        <v>-5.6095461136202174E-2</v>
      </c>
      <c r="H46" s="170">
        <f t="shared" si="24"/>
        <v>-0.16552494722072636</v>
      </c>
      <c r="I46" s="171">
        <f t="shared" si="25"/>
        <v>-0.14884121191163419</v>
      </c>
      <c r="J46" s="1237"/>
      <c r="K46" s="3"/>
      <c r="L46" s="3"/>
      <c r="M46" s="3"/>
      <c r="N46" s="3"/>
      <c r="O46" s="3"/>
      <c r="P46" s="3"/>
      <c r="Q46" s="3"/>
      <c r="R46" s="3"/>
      <c r="S46" s="3"/>
      <c r="T46" s="3"/>
      <c r="U46" s="3"/>
      <c r="V46" s="3"/>
      <c r="W46" s="3"/>
    </row>
    <row r="47" spans="1:23">
      <c r="A47" s="3"/>
      <c r="B47" s="205" t="s">
        <v>131</v>
      </c>
      <c r="C47" s="184">
        <f>+Print_Mois!$L$213</f>
        <v>12916.71</v>
      </c>
      <c r="D47" s="184">
        <f>+Print_Mois!$F$213</f>
        <v>11083.739355555555</v>
      </c>
      <c r="E47" s="184">
        <f>+Print_Mois!$Q$213</f>
        <v>15457.5</v>
      </c>
      <c r="F47" s="185">
        <f t="shared" si="22"/>
        <v>1832.9706444444437</v>
      </c>
      <c r="G47" s="186">
        <f t="shared" si="23"/>
        <v>-2540.7900000000009</v>
      </c>
      <c r="H47" s="187">
        <f t="shared" si="24"/>
        <v>0.16537475175520933</v>
      </c>
      <c r="I47" s="188">
        <f t="shared" si="25"/>
        <v>-0.16437263464337706</v>
      </c>
      <c r="J47" s="123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535619.36</v>
      </c>
      <c r="D50" s="200">
        <f>+Print_Mois!$D$314</f>
        <v>450860.7006852497</v>
      </c>
      <c r="E50" s="200">
        <f>+Print_Mois!$O$314</f>
        <v>420612.72000000003</v>
      </c>
      <c r="F50" s="201">
        <f t="shared" ref="F50:F59" si="27">+IFERROR($C50-D50,"")</f>
        <v>84758.659314750286</v>
      </c>
      <c r="G50" s="202">
        <f t="shared" ref="G50:G59" si="28">+IFERROR($C50-E50,"")</f>
        <v>115006.63999999996</v>
      </c>
      <c r="H50" s="163">
        <f t="shared" ref="H50:H59" si="29">+IFERROR(F50/ABS($D50),"")</f>
        <v>0.18799300800874447</v>
      </c>
      <c r="I50" s="164">
        <f t="shared" ref="I50:I59" si="30">+IFERROR(G50/ABS($E50),"")</f>
        <v>0.27342644321360504</v>
      </c>
      <c r="J50" s="1236" t="s">
        <v>3924</v>
      </c>
      <c r="K50" s="3"/>
      <c r="L50" s="3"/>
      <c r="M50" s="3"/>
      <c r="N50" s="3"/>
      <c r="O50" s="3"/>
      <c r="P50" s="3"/>
      <c r="Q50" s="3"/>
      <c r="R50" s="3"/>
      <c r="S50" s="3"/>
      <c r="T50" s="3"/>
      <c r="U50" s="3"/>
      <c r="V50" s="3"/>
      <c r="W50" s="3"/>
    </row>
    <row r="51" spans="1:23" ht="15.75" customHeight="1">
      <c r="A51" s="3"/>
      <c r="B51" s="181" t="s">
        <v>315</v>
      </c>
      <c r="C51" s="166">
        <f>+Print_Mois!$J$295</f>
        <v>87058.76</v>
      </c>
      <c r="D51" s="166">
        <f>+Print_Mois!$D$295</f>
        <v>81099.13784000001</v>
      </c>
      <c r="E51" s="166">
        <f>+Print_Mois!$O$295</f>
        <v>97246.46</v>
      </c>
      <c r="F51" s="167">
        <f t="shared" si="27"/>
        <v>5959.6221599999844</v>
      </c>
      <c r="G51" s="168">
        <f t="shared" si="28"/>
        <v>-10187.700000000012</v>
      </c>
      <c r="H51" s="170">
        <f t="shared" si="29"/>
        <v>7.3485641385703585E-2</v>
      </c>
      <c r="I51" s="171">
        <f t="shared" si="30"/>
        <v>-0.10476165404889815</v>
      </c>
      <c r="J51" s="1237"/>
      <c r="K51" s="3"/>
      <c r="L51" s="3"/>
      <c r="M51" s="3"/>
      <c r="N51" s="3"/>
      <c r="O51" s="3"/>
      <c r="P51" s="3"/>
      <c r="Q51" s="3"/>
      <c r="R51" s="3"/>
      <c r="S51" s="3"/>
      <c r="T51" s="3"/>
      <c r="U51" s="3"/>
      <c r="V51" s="3"/>
      <c r="W51" s="3"/>
    </row>
    <row r="52" spans="1:23" ht="15.75" customHeight="1">
      <c r="A52" s="3"/>
      <c r="B52" s="181" t="s">
        <v>316</v>
      </c>
      <c r="C52" s="166">
        <f>+Print_Mois!$J$297</f>
        <v>95506.71</v>
      </c>
      <c r="D52" s="166">
        <f>+Print_Mois!$D$297</f>
        <v>60847.342499999999</v>
      </c>
      <c r="E52" s="166">
        <f>+Print_Mois!$O$297</f>
        <v>63908.639999999999</v>
      </c>
      <c r="F52" s="167">
        <f t="shared" si="27"/>
        <v>34659.367500000008</v>
      </c>
      <c r="G52" s="168">
        <f t="shared" si="28"/>
        <v>31598.070000000007</v>
      </c>
      <c r="H52" s="170">
        <f t="shared" si="29"/>
        <v>0.56961185281017013</v>
      </c>
      <c r="I52" s="171">
        <f t="shared" si="30"/>
        <v>0.49442563634588388</v>
      </c>
      <c r="J52" s="1237"/>
      <c r="K52" s="3"/>
      <c r="L52" s="3"/>
      <c r="M52" s="3"/>
      <c r="N52" s="3"/>
      <c r="O52" s="3"/>
      <c r="P52" s="3"/>
      <c r="Q52" s="3"/>
      <c r="R52" s="3"/>
      <c r="S52" s="3"/>
      <c r="T52" s="3"/>
      <c r="U52" s="3"/>
      <c r="V52" s="3"/>
      <c r="W52" s="3"/>
    </row>
    <row r="53" spans="1:23" ht="15.75" customHeight="1">
      <c r="A53" s="3"/>
      <c r="B53" s="181" t="s">
        <v>317</v>
      </c>
      <c r="C53" s="166">
        <f>+Print_Mois!$J$300</f>
        <v>186492.61</v>
      </c>
      <c r="D53" s="166">
        <f>+Print_Mois!$D$300</f>
        <v>153843.459</v>
      </c>
      <c r="E53" s="166">
        <f>+Print_Mois!$O$300</f>
        <v>143365.44</v>
      </c>
      <c r="F53" s="167">
        <f t="shared" si="27"/>
        <v>32649.150999999983</v>
      </c>
      <c r="G53" s="168">
        <f t="shared" si="28"/>
        <v>43127.169999999984</v>
      </c>
      <c r="H53" s="170">
        <f t="shared" si="29"/>
        <v>0.21222319890766356</v>
      </c>
      <c r="I53" s="171">
        <f t="shared" si="30"/>
        <v>0.30081984891198316</v>
      </c>
      <c r="J53" s="1237"/>
      <c r="K53" s="3"/>
      <c r="L53" s="3"/>
      <c r="M53" s="3"/>
      <c r="N53" s="3"/>
      <c r="O53" s="3"/>
      <c r="P53" s="3"/>
      <c r="Q53" s="3"/>
      <c r="R53" s="3"/>
      <c r="S53" s="3"/>
      <c r="T53" s="3"/>
      <c r="U53" s="3"/>
      <c r="V53" s="3"/>
      <c r="W53" s="3"/>
    </row>
    <row r="54" spans="1:23" ht="15.75" customHeight="1">
      <c r="A54" s="3"/>
      <c r="B54" s="181" t="s">
        <v>318</v>
      </c>
      <c r="C54" s="166">
        <f>+Print_Mois!$J$307</f>
        <v>32612.16</v>
      </c>
      <c r="D54" s="166">
        <f>+Print_Mois!$D$307</f>
        <v>23014.84</v>
      </c>
      <c r="E54" s="166">
        <f>+Print_Mois!$O$307</f>
        <v>17894.14</v>
      </c>
      <c r="F54" s="167">
        <f t="shared" si="27"/>
        <v>9597.32</v>
      </c>
      <c r="G54" s="168">
        <f t="shared" si="28"/>
        <v>14718.02</v>
      </c>
      <c r="H54" s="170">
        <f t="shared" si="29"/>
        <v>0.41700572326377239</v>
      </c>
      <c r="I54" s="171">
        <f t="shared" si="30"/>
        <v>0.82250502119688351</v>
      </c>
      <c r="J54" s="1237"/>
      <c r="K54" s="3"/>
      <c r="L54" s="3"/>
      <c r="M54" s="3"/>
      <c r="N54" s="3"/>
      <c r="O54" s="3"/>
      <c r="P54" s="3"/>
      <c r="Q54" s="3"/>
      <c r="R54" s="3"/>
      <c r="S54" s="3"/>
      <c r="T54" s="3"/>
      <c r="U54" s="3"/>
      <c r="V54" s="3"/>
      <c r="W54" s="3"/>
    </row>
    <row r="55" spans="1:23" ht="15.75" customHeight="1">
      <c r="A55" s="3"/>
      <c r="B55" s="181" t="s">
        <v>319</v>
      </c>
      <c r="C55" s="166">
        <f t="shared" ref="C55:E55" si="31">+C50-SUM(C51:C54)</f>
        <v>133949.12000000005</v>
      </c>
      <c r="D55" s="166">
        <f t="shared" si="31"/>
        <v>132055.92134524963</v>
      </c>
      <c r="E55" s="166">
        <f t="shared" si="31"/>
        <v>98198.039999999979</v>
      </c>
      <c r="F55" s="167">
        <f t="shared" si="27"/>
        <v>1893.1986547504202</v>
      </c>
      <c r="G55" s="168">
        <f t="shared" si="28"/>
        <v>35751.080000000075</v>
      </c>
      <c r="H55" s="170">
        <f t="shared" si="29"/>
        <v>1.4336340509872359E-2</v>
      </c>
      <c r="I55" s="171">
        <f t="shared" si="30"/>
        <v>0.36407121771473322</v>
      </c>
      <c r="J55" s="1237"/>
      <c r="K55" s="3"/>
      <c r="L55" s="3"/>
      <c r="M55" s="3"/>
      <c r="N55" s="3"/>
      <c r="O55" s="3"/>
      <c r="P55" s="3"/>
      <c r="Q55" s="3"/>
      <c r="R55" s="3"/>
      <c r="S55" s="3"/>
      <c r="T55" s="3"/>
      <c r="U55" s="3"/>
      <c r="V55" s="3"/>
      <c r="W55" s="3"/>
    </row>
    <row r="56" spans="1:23" ht="15.75" customHeight="1">
      <c r="A56" s="3"/>
      <c r="B56" s="159" t="s">
        <v>306</v>
      </c>
      <c r="C56" s="200">
        <f>+Print_Mois!$L$314</f>
        <v>125086.84</v>
      </c>
      <c r="D56" s="200">
        <f>+Print_Mois!$F$314</f>
        <v>114969.37076007971</v>
      </c>
      <c r="E56" s="200">
        <f>+Print_Mois!$Q$314</f>
        <v>104719.70999999989</v>
      </c>
      <c r="F56" s="201">
        <f t="shared" si="27"/>
        <v>10117.46923992029</v>
      </c>
      <c r="G56" s="202">
        <f t="shared" si="28"/>
        <v>20367.130000000107</v>
      </c>
      <c r="H56" s="203">
        <f t="shared" si="29"/>
        <v>8.8001431799027752E-2</v>
      </c>
      <c r="I56" s="204">
        <f t="shared" si="30"/>
        <v>0.19449184876467027</v>
      </c>
      <c r="J56" s="1237"/>
      <c r="K56" s="3"/>
      <c r="L56" s="3"/>
      <c r="M56" s="3"/>
      <c r="N56" s="3"/>
      <c r="O56" s="3"/>
      <c r="P56" s="3"/>
      <c r="Q56" s="3"/>
      <c r="R56" s="3"/>
      <c r="S56" s="3"/>
      <c r="T56" s="3"/>
      <c r="U56" s="3"/>
      <c r="V56" s="3"/>
      <c r="W56" s="3"/>
    </row>
    <row r="57" spans="1:23" ht="15.75" customHeight="1">
      <c r="A57" s="3"/>
      <c r="B57" s="165" t="s">
        <v>307</v>
      </c>
      <c r="C57" s="166">
        <f>+Print_Mois!$J$295/Print_Mois!$J$172</f>
        <v>216.56407960199004</v>
      </c>
      <c r="D57" s="166">
        <f>+IFERROR(Print_Mois!$D$295/Print_Mois!$D$172,"")</f>
        <v>193.22200000000001</v>
      </c>
      <c r="E57" s="166">
        <f>+Print_Mois!$O$295/Print_Mois!$O$172</f>
        <v>292.91102409638557</v>
      </c>
      <c r="F57" s="167">
        <f t="shared" si="27"/>
        <v>23.342079601990037</v>
      </c>
      <c r="G57" s="168">
        <f t="shared" si="28"/>
        <v>-76.34694449439553</v>
      </c>
      <c r="H57" s="170">
        <f t="shared" si="29"/>
        <v>0.12080446120001881</v>
      </c>
      <c r="I57" s="171">
        <f t="shared" si="30"/>
        <v>-0.26064892821948804</v>
      </c>
      <c r="J57" s="1237"/>
      <c r="K57" s="3"/>
      <c r="L57" s="3"/>
      <c r="M57" s="3"/>
      <c r="N57" s="3"/>
      <c r="O57" s="3"/>
      <c r="P57" s="3"/>
      <c r="Q57" s="3"/>
      <c r="R57" s="3"/>
      <c r="S57" s="3"/>
      <c r="T57" s="3"/>
      <c r="U57" s="3"/>
      <c r="V57" s="3"/>
      <c r="W57" s="3"/>
    </row>
    <row r="58" spans="1:23" ht="15.75" customHeight="1">
      <c r="A58" s="3"/>
      <c r="B58" s="165" t="s">
        <v>308</v>
      </c>
      <c r="C58" s="166">
        <f>+Print_Mois!$J$297/Print_Mois!$J$175</f>
        <v>452.63843601895735</v>
      </c>
      <c r="D58" s="166">
        <f>+IFERROR(Print_Mois!$D$297/Print_Mois!$D$175,"")</f>
        <v>407.46897810218974</v>
      </c>
      <c r="E58" s="166">
        <f>+Print_Mois!$O$297/Print_Mois!$O$175</f>
        <v>503.21763779527561</v>
      </c>
      <c r="F58" s="167">
        <f t="shared" si="27"/>
        <v>45.169457916767612</v>
      </c>
      <c r="G58" s="168">
        <f t="shared" si="28"/>
        <v>-50.579201776318257</v>
      </c>
      <c r="H58" s="170">
        <f t="shared" si="29"/>
        <v>0.11085373450304602</v>
      </c>
      <c r="I58" s="171">
        <f t="shared" si="30"/>
        <v>-0.10051158381077141</v>
      </c>
      <c r="J58" s="1237"/>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113.92</v>
      </c>
      <c r="F59" s="185">
        <f t="shared" si="27"/>
        <v>-26.326153846153844</v>
      </c>
      <c r="G59" s="186">
        <f t="shared" si="28"/>
        <v>0</v>
      </c>
      <c r="H59" s="187">
        <f t="shared" si="29"/>
        <v>-0.18771390960947781</v>
      </c>
      <c r="I59" s="188">
        <f t="shared" si="30"/>
        <v>0</v>
      </c>
      <c r="J59" s="123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0.36057553464972192</v>
      </c>
      <c r="D62" s="169">
        <f>+Print_Mois!$Z$433/Print_Mois!$Z$407</f>
        <v>0.42517968600837125</v>
      </c>
      <c r="E62" s="169">
        <f>+Print_Mois!$AL$433/Print_Mois!$AL$407</f>
        <v>0.39968829121497251</v>
      </c>
      <c r="F62" s="172">
        <f t="shared" ref="F62:G67" si="32">+IFERROR($C62-D62,"")</f>
        <v>-6.4604151358649331E-2</v>
      </c>
      <c r="G62" s="173">
        <f t="shared" si="32"/>
        <v>-3.9112756565250595E-2</v>
      </c>
      <c r="H62" s="170">
        <f t="shared" ref="H62:H67" si="33">+IFERROR(F62/ABS($D62),"")</f>
        <v>-0.1519455267610724</v>
      </c>
      <c r="I62" s="171">
        <f t="shared" ref="I62:I67" si="34">+IFERROR(G62/ABS($E62),"")</f>
        <v>-9.7858149525360455E-2</v>
      </c>
      <c r="J62" s="1236"/>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37"/>
      <c r="K63" s="3"/>
      <c r="L63" s="3"/>
      <c r="M63" s="3"/>
      <c r="N63" s="3"/>
      <c r="O63" s="3"/>
      <c r="P63" s="3"/>
      <c r="Q63" s="3"/>
      <c r="R63" s="3"/>
      <c r="S63" s="3"/>
      <c r="T63" s="3"/>
      <c r="U63" s="3"/>
      <c r="V63" s="3"/>
      <c r="W63" s="3"/>
    </row>
    <row r="64" spans="1:23" ht="15.75" customHeight="1">
      <c r="A64" s="3"/>
      <c r="B64" s="181" t="s">
        <v>323</v>
      </c>
      <c r="C64" s="166">
        <f>N17+Print_Mois!$AF$414+Print_Mois!$AF$434</f>
        <v>26906.440000000002</v>
      </c>
      <c r="D64" s="166">
        <f>+Print_Mois!$Z$414+Print_Mois!$Z$434</f>
        <v>28236.953081014639</v>
      </c>
      <c r="E64" s="166">
        <f>+Print_Mois!$AL$414+Print_Mois!$AL$434</f>
        <v>29641.07</v>
      </c>
      <c r="F64" s="167">
        <f t="shared" si="32"/>
        <v>-1330.5130810146366</v>
      </c>
      <c r="G64" s="168">
        <f t="shared" si="32"/>
        <v>-2734.6299999999974</v>
      </c>
      <c r="H64" s="170">
        <f t="shared" si="33"/>
        <v>-4.7119569777846128E-2</v>
      </c>
      <c r="I64" s="171">
        <f t="shared" si="34"/>
        <v>-9.2258140478734318E-2</v>
      </c>
      <c r="J64" s="1237"/>
      <c r="K64" s="3"/>
      <c r="L64" s="3"/>
      <c r="M64" s="3"/>
      <c r="N64" s="3"/>
      <c r="O64" s="3"/>
      <c r="P64" s="3"/>
      <c r="Q64" s="3"/>
      <c r="R64" s="3"/>
      <c r="S64" s="3"/>
      <c r="T64" s="3"/>
      <c r="U64" s="3"/>
      <c r="V64" s="3"/>
      <c r="W64" s="3"/>
    </row>
    <row r="65" spans="1:23" ht="15.75" customHeight="1">
      <c r="A65" s="3"/>
      <c r="B65" s="181" t="s">
        <v>324</v>
      </c>
      <c r="C65" s="166">
        <f>+Print_Mois!$AF$452-Print_Mois!$AF$434</f>
        <v>120011.20999999999</v>
      </c>
      <c r="D65" s="166">
        <f>+Print_Mois!$Z$452-Print_Mois!$Z$434</f>
        <v>111418.20894450428</v>
      </c>
      <c r="E65" s="166">
        <f>+Print_Mois!$AL$452-Print_Mois!$AL$434</f>
        <v>110604.75</v>
      </c>
      <c r="F65" s="167">
        <f t="shared" si="32"/>
        <v>8593.0010554957116</v>
      </c>
      <c r="G65" s="168">
        <f t="shared" si="32"/>
        <v>9406.4599999999919</v>
      </c>
      <c r="H65" s="170">
        <f t="shared" si="33"/>
        <v>7.7123848398745629E-2</v>
      </c>
      <c r="I65" s="171">
        <f t="shared" si="34"/>
        <v>8.5045714582782317E-2</v>
      </c>
      <c r="J65" s="1237"/>
      <c r="K65" s="3"/>
      <c r="L65" s="3"/>
      <c r="M65" s="3"/>
      <c r="N65" s="3"/>
      <c r="O65" s="3"/>
      <c r="P65" s="3"/>
      <c r="Q65" s="3"/>
      <c r="R65" s="3"/>
      <c r="S65" s="3"/>
      <c r="T65" s="3"/>
      <c r="U65" s="3"/>
      <c r="V65" s="3"/>
      <c r="W65" s="3"/>
    </row>
    <row r="66" spans="1:23" ht="15.75" customHeight="1">
      <c r="A66" s="3"/>
      <c r="B66" s="181" t="s">
        <v>325</v>
      </c>
      <c r="C66" s="166">
        <f>+Print_Mois!$AF$415</f>
        <v>26209.15</v>
      </c>
      <c r="D66" s="166">
        <f>+Print_Mois!$Z$415</f>
        <v>48122.928712805086</v>
      </c>
      <c r="E66" s="166">
        <f>+Print_Mois!$AL$415</f>
        <v>49031.799999999996</v>
      </c>
      <c r="F66" s="167">
        <f t="shared" si="32"/>
        <v>-21913.778712805084</v>
      </c>
      <c r="G66" s="168">
        <f t="shared" si="32"/>
        <v>-22822.649999999994</v>
      </c>
      <c r="H66" s="170">
        <f t="shared" si="33"/>
        <v>-0.45537084502037012</v>
      </c>
      <c r="I66" s="171">
        <f t="shared" si="34"/>
        <v>-0.46546628922454397</v>
      </c>
      <c r="J66" s="1237"/>
      <c r="K66" s="3"/>
      <c r="L66" s="3"/>
      <c r="M66" s="3"/>
      <c r="N66" s="3"/>
      <c r="O66" s="3"/>
      <c r="P66" s="3"/>
      <c r="Q66" s="3"/>
      <c r="R66" s="3"/>
      <c r="S66" s="3"/>
      <c r="T66" s="3"/>
      <c r="U66" s="3"/>
      <c r="V66" s="3"/>
      <c r="W66" s="3"/>
    </row>
    <row r="67" spans="1:23">
      <c r="A67" s="3"/>
      <c r="B67" s="183" t="s">
        <v>326</v>
      </c>
      <c r="C67" s="184">
        <f>+Print_Mois!$AF$481-C32-C15</f>
        <v>67.009999999980209</v>
      </c>
      <c r="D67" s="184">
        <f>+Print_Mois!$Z$481-D32-D15</f>
        <v>0</v>
      </c>
      <c r="E67" s="184">
        <f>+Print_Mois!$AL$481-E32-E15</f>
        <v>7191.320000000007</v>
      </c>
      <c r="F67" s="185">
        <f t="shared" si="32"/>
        <v>67.009999999980209</v>
      </c>
      <c r="G67" s="186">
        <f t="shared" si="32"/>
        <v>-7124.3100000000268</v>
      </c>
      <c r="H67" s="187" t="str">
        <f t="shared" si="33"/>
        <v/>
      </c>
      <c r="I67" s="188">
        <f t="shared" si="34"/>
        <v>-0.99068182197427179</v>
      </c>
      <c r="J67" s="123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176094.18</v>
      </c>
      <c r="D70" s="166">
        <f>+Print_Mois!$Z$419-Print_Mois!$Z$415+Print_Mois!$Z$434+Print_Mois!$Z$435+Print_Mois!$Z$436</f>
        <v>190800.10915123957</v>
      </c>
      <c r="E70" s="166">
        <f>+Print_Mois!$AL$419-Print_Mois!$AL$415+Print_Mois!$AL$434+Print_Mois!$AL$435+Print_Mois!$AL$436</f>
        <v>191307.8</v>
      </c>
      <c r="F70" s="225">
        <f t="shared" ref="F70:G77" si="35">+IFERROR($C70-D70,"")</f>
        <v>-14705.929151239572</v>
      </c>
      <c r="G70" s="226">
        <f t="shared" si="35"/>
        <v>-15213.619999999995</v>
      </c>
      <c r="H70" s="170">
        <f t="shared" ref="H70:H77" si="36">+IFERROR(F70/ABS($D70),"")</f>
        <v>-7.7075056280931031E-2</v>
      </c>
      <c r="I70" s="171">
        <f t="shared" ref="I70:I77" si="37">+IFERROR(G70/ABS($E70),"")</f>
        <v>-7.9524305856844293E-2</v>
      </c>
      <c r="J70" s="1236" t="s">
        <v>3925</v>
      </c>
      <c r="K70" s="3"/>
      <c r="L70" s="3"/>
      <c r="M70" s="3"/>
      <c r="N70" s="3"/>
      <c r="O70" s="3"/>
      <c r="P70" s="3"/>
      <c r="Q70" s="3"/>
      <c r="R70" s="3"/>
      <c r="S70" s="3"/>
      <c r="T70" s="3"/>
      <c r="U70" s="3"/>
      <c r="V70" s="3"/>
      <c r="W70" s="3"/>
    </row>
    <row r="71" spans="1:23" ht="15.75" customHeight="1">
      <c r="A71" s="3"/>
      <c r="B71" s="181" t="s">
        <v>329</v>
      </c>
      <c r="C71" s="169">
        <f>+C70/Print_Mois!$AF$407</f>
        <v>0.22647402131727271</v>
      </c>
      <c r="D71" s="169">
        <f>+D70/Print_Mois!$Z$407</f>
        <v>0.265955637114699</v>
      </c>
      <c r="E71" s="169">
        <f>+E70/Print_Mois!$AL$407</f>
        <v>0.28685383148520893</v>
      </c>
      <c r="F71" s="172">
        <f t="shared" si="35"/>
        <v>-3.9481615797426289E-2</v>
      </c>
      <c r="G71" s="173">
        <f t="shared" si="35"/>
        <v>-6.0379810167936226E-2</v>
      </c>
      <c r="H71" s="170">
        <f t="shared" si="36"/>
        <v>-0.14845188553156707</v>
      </c>
      <c r="I71" s="171">
        <f t="shared" si="37"/>
        <v>-0.21048981585957863</v>
      </c>
      <c r="J71" s="1237"/>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443067.69</v>
      </c>
      <c r="D72" s="166">
        <f>+Print_Mois!$Z$466+Print_Mois!$Z$433+Print_Mois!$Z$437+Print_Mois!$Z$439+SUM(Print_Mois!$Z$440:$Z$448)+Print_Mois!$Z$438</f>
        <v>451418.30369110621</v>
      </c>
      <c r="E72" s="166">
        <f>+Print_Mois!$AL$466+Print_Mois!$AL$433+Print_Mois!$AL$437+Print_Mois!$AL$439+SUM(Print_Mois!$AL$440:$AL$448)+Print_Mois!$AL$438</f>
        <v>405762.54000000004</v>
      </c>
      <c r="F72" s="167">
        <f t="shared" si="35"/>
        <v>-8350.6136911062058</v>
      </c>
      <c r="G72" s="168">
        <f t="shared" si="35"/>
        <v>37305.149999999965</v>
      </c>
      <c r="H72" s="170">
        <f t="shared" si="36"/>
        <v>-1.8498615636153543E-2</v>
      </c>
      <c r="I72" s="171">
        <f t="shared" si="37"/>
        <v>9.1938378540315627E-2</v>
      </c>
      <c r="J72" s="1237"/>
      <c r="K72" s="3"/>
      <c r="L72" s="3"/>
      <c r="M72" s="3"/>
      <c r="N72" s="3"/>
      <c r="O72" s="3"/>
      <c r="P72" s="3"/>
      <c r="Q72" s="3"/>
      <c r="R72" s="3"/>
      <c r="S72" s="3"/>
      <c r="T72" s="3"/>
      <c r="U72" s="3"/>
      <c r="V72" s="3"/>
      <c r="W72" s="3"/>
    </row>
    <row r="73" spans="1:23" ht="15.75" customHeight="1">
      <c r="A73" s="3"/>
      <c r="B73" s="181" t="s">
        <v>331</v>
      </c>
      <c r="C73" s="169">
        <f>+C72/Print_Mois!$AF$407</f>
        <v>0.56982758584102433</v>
      </c>
      <c r="D73" s="169">
        <f>+D72/Print_Mois!$Z$407</f>
        <v>0.62923047108028796</v>
      </c>
      <c r="E73" s="169">
        <f>+E72/Print_Mois!$AL$407</f>
        <v>0.60841502161527328</v>
      </c>
      <c r="F73" s="172">
        <f t="shared" si="35"/>
        <v>-5.9402885239263625E-2</v>
      </c>
      <c r="G73" s="173">
        <f t="shared" si="35"/>
        <v>-3.8587435774248946E-2</v>
      </c>
      <c r="H73" s="170">
        <f t="shared" si="36"/>
        <v>-9.4405608071202254E-2</v>
      </c>
      <c r="I73" s="171">
        <f t="shared" si="37"/>
        <v>-6.3422884714127631E-2</v>
      </c>
      <c r="J73" s="1237"/>
      <c r="K73" s="3"/>
      <c r="L73" s="3"/>
      <c r="M73" s="3"/>
      <c r="N73" s="3"/>
      <c r="O73" s="3"/>
      <c r="P73" s="3"/>
      <c r="Q73" s="3"/>
      <c r="R73" s="3"/>
      <c r="S73" s="3"/>
      <c r="T73" s="3"/>
      <c r="U73" s="3"/>
      <c r="V73" s="3"/>
      <c r="W73" s="3"/>
    </row>
    <row r="74" spans="1:23" ht="15.75" customHeight="1">
      <c r="A74" s="1"/>
      <c r="B74" s="211" t="s">
        <v>332</v>
      </c>
      <c r="C74" s="200">
        <f>+Print_Mois!$AF$483+Print_Mois!$AF$415</f>
        <v>305430.92000000027</v>
      </c>
      <c r="D74" s="200">
        <f>+Print_Mois!$Z$483+Print_Mois!$Z$415</f>
        <v>228231.67280669033</v>
      </c>
      <c r="E74" s="200">
        <f>+Print_Mois!$AL$483+Print_Mois!$AL$415</f>
        <v>270832.33999999834</v>
      </c>
      <c r="F74" s="201">
        <f t="shared" si="35"/>
        <v>77199.247193309944</v>
      </c>
      <c r="G74" s="202">
        <f t="shared" si="35"/>
        <v>34598.580000001937</v>
      </c>
      <c r="H74" s="203">
        <f t="shared" si="36"/>
        <v>0.3382494911593486</v>
      </c>
      <c r="I74" s="204">
        <f t="shared" si="37"/>
        <v>0.12774907162121832</v>
      </c>
      <c r="J74" s="1237"/>
      <c r="K74" s="1"/>
      <c r="L74" s="1"/>
      <c r="M74" s="1"/>
      <c r="N74" s="1"/>
      <c r="O74" s="1"/>
      <c r="P74" s="1"/>
      <c r="Q74" s="1"/>
      <c r="R74" s="1"/>
      <c r="S74" s="1"/>
      <c r="T74" s="1"/>
      <c r="U74" s="1"/>
      <c r="V74" s="1"/>
      <c r="W74" s="1"/>
    </row>
    <row r="75" spans="1:23" ht="15.75" customHeight="1">
      <c r="A75" s="3"/>
      <c r="B75" s="165" t="s">
        <v>333</v>
      </c>
      <c r="C75" s="227">
        <f>+C74/Print_Mois!$AF$406</f>
        <v>4.5254527800547041E-2</v>
      </c>
      <c r="D75" s="227">
        <f>+D74/Print_Mois!$Z$406</f>
        <v>3.6314563850877619E-2</v>
      </c>
      <c r="E75" s="227">
        <f>+E74/Print_Mois!$AL$406</f>
        <v>4.0714688795478154E-2</v>
      </c>
      <c r="F75" s="172">
        <f t="shared" si="35"/>
        <v>8.9399639496694217E-3</v>
      </c>
      <c r="G75" s="173">
        <f t="shared" si="35"/>
        <v>4.5398390050688867E-3</v>
      </c>
      <c r="H75" s="170">
        <f t="shared" si="36"/>
        <v>0.24618122873182652</v>
      </c>
      <c r="I75" s="171">
        <f t="shared" si="37"/>
        <v>0.11150371375485225</v>
      </c>
      <c r="J75" s="1237"/>
      <c r="K75" s="3"/>
      <c r="L75" s="3"/>
      <c r="M75" s="3"/>
      <c r="N75" s="3"/>
      <c r="O75" s="3"/>
      <c r="P75" s="3"/>
      <c r="Q75" s="3"/>
      <c r="R75" s="3"/>
      <c r="S75" s="3"/>
      <c r="T75" s="3"/>
      <c r="U75" s="3"/>
      <c r="V75" s="3"/>
      <c r="W75" s="3"/>
    </row>
    <row r="76" spans="1:23" ht="15.75" customHeight="1">
      <c r="A76" s="1"/>
      <c r="B76" s="211" t="s">
        <v>334</v>
      </c>
      <c r="C76" s="200">
        <f>N9+Print_Mois!$AF$498</f>
        <v>237652.77000000025</v>
      </c>
      <c r="D76" s="200">
        <f>+Print_Mois!$Z$498</f>
        <v>137539.91076055189</v>
      </c>
      <c r="E76" s="200">
        <f>+Print_Mois!$AL$498</f>
        <v>190691.55999999837</v>
      </c>
      <c r="F76" s="201">
        <f t="shared" si="35"/>
        <v>100112.85923944836</v>
      </c>
      <c r="G76" s="202">
        <f t="shared" si="35"/>
        <v>46961.210000001884</v>
      </c>
      <c r="H76" s="203">
        <f t="shared" si="36"/>
        <v>0.72788224658469047</v>
      </c>
      <c r="I76" s="204">
        <f t="shared" si="37"/>
        <v>0.2462678998483325</v>
      </c>
      <c r="J76" s="1237"/>
      <c r="K76" s="1"/>
      <c r="L76" s="1"/>
      <c r="M76" s="1"/>
      <c r="N76" s="1"/>
      <c r="O76" s="1"/>
      <c r="P76" s="1"/>
      <c r="Q76" s="1"/>
      <c r="R76" s="1"/>
      <c r="S76" s="1"/>
      <c r="T76" s="1"/>
      <c r="U76" s="1"/>
      <c r="V76" s="1"/>
      <c r="W76" s="1"/>
    </row>
    <row r="77" spans="1:23" ht="15.75" customHeight="1">
      <c r="A77" s="3"/>
      <c r="B77" s="183" t="s">
        <v>335</v>
      </c>
      <c r="C77" s="228">
        <f>+C76/Print_Mois!$AF$406</f>
        <v>3.5212099308223326E-2</v>
      </c>
      <c r="D77" s="228">
        <f>+D76/Print_Mois!$Z$406</f>
        <v>2.1884350274155542E-2</v>
      </c>
      <c r="E77" s="228">
        <f>+E76/Print_Mois!$AL$406</f>
        <v>2.8666988297351162E-2</v>
      </c>
      <c r="F77" s="229">
        <f t="shared" si="35"/>
        <v>1.3327749034067783E-2</v>
      </c>
      <c r="G77" s="230">
        <f t="shared" si="35"/>
        <v>6.5451110108721636E-3</v>
      </c>
      <c r="H77" s="187">
        <f t="shared" si="36"/>
        <v>0.60900821212897827</v>
      </c>
      <c r="I77" s="188">
        <f t="shared" si="37"/>
        <v>0.2283152643375842</v>
      </c>
      <c r="J77" s="123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3423</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262310</v>
      </c>
      <c r="D80" s="1009">
        <v>0.03</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43120.920000000275</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171618</v>
      </c>
      <c r="D83" s="1009">
        <v>1.4E-2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66034.770000000251</v>
      </c>
      <c r="D84" s="1155"/>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Juillet 2025</v>
      </c>
      <c r="D86" s="977" t="s">
        <v>3939</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Juillet 2025</v>
      </c>
      <c r="C87" s="974">
        <f>+C76</f>
        <v>237652.77000000025</v>
      </c>
      <c r="D87" s="965">
        <f>+Print_AAD!AF498</f>
        <v>671057.63999999966</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Juillet 2025</v>
      </c>
      <c r="C88" s="975">
        <f>+D76</f>
        <v>137539.91076055189</v>
      </c>
      <c r="D88" s="966">
        <f>+Print_AAD!Z498</f>
        <v>498062.7951598239</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Juillet 2024</v>
      </c>
      <c r="C89" s="978">
        <f>+E76</f>
        <v>190691.55999999837</v>
      </c>
      <c r="D89" s="968">
        <f>+Print_AAD!AL498</f>
        <v>648284.06999999471</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J7"/>
  <sheetViews>
    <sheetView workbookViewId="0">
      <selection activeCell="G24" sqref="G24"/>
    </sheetView>
  </sheetViews>
  <sheetFormatPr baseColWidth="10" defaultColWidth="11" defaultRowHeight="14.25"/>
  <cols>
    <col min="1" max="1" width="2.5" style="1163" customWidth="1"/>
    <col min="2" max="2" width="11" style="1168"/>
    <col min="3" max="3" width="23" style="1169" customWidth="1"/>
    <col min="4" max="4" width="11.625" style="1169" customWidth="1"/>
    <col min="5" max="5" width="16" style="1169" customWidth="1"/>
    <col min="6" max="6" width="18.125" style="1169" bestFit="1" customWidth="1"/>
    <col min="7" max="7" width="10.875" style="1170" bestFit="1" customWidth="1"/>
    <col min="8" max="8" width="12.125" style="1169" customWidth="1"/>
    <col min="9" max="9" width="16.875" style="1169" customWidth="1"/>
    <col min="10" max="10" width="25.5" style="1171" customWidth="1"/>
    <col min="11" max="16384" width="11" style="1163"/>
  </cols>
  <sheetData>
    <row r="1" spans="2:10" ht="20.25">
      <c r="B1" s="1241" t="s">
        <v>3899</v>
      </c>
      <c r="C1" s="1242"/>
      <c r="D1" s="1242"/>
      <c r="E1" s="1242"/>
      <c r="F1" s="1242"/>
      <c r="G1" s="1242"/>
      <c r="H1" s="1242"/>
      <c r="I1" s="1242"/>
      <c r="J1" s="1243"/>
    </row>
    <row r="2" spans="2:10" ht="15">
      <c r="B2" s="1164" t="s">
        <v>3900</v>
      </c>
      <c r="C2" s="1165" t="s">
        <v>257</v>
      </c>
      <c r="D2" s="1165" t="s">
        <v>9</v>
      </c>
      <c r="E2" s="1165" t="s">
        <v>253</v>
      </c>
      <c r="F2" s="1165" t="s">
        <v>254</v>
      </c>
      <c r="G2" s="1166" t="s">
        <v>3901</v>
      </c>
      <c r="H2" s="1165" t="s">
        <v>3902</v>
      </c>
      <c r="I2" s="1165" t="s">
        <v>3903</v>
      </c>
      <c r="J2" s="1167" t="s">
        <v>3904</v>
      </c>
    </row>
    <row r="3" spans="2:10">
      <c r="C3" s="1196"/>
      <c r="E3" s="1196"/>
      <c r="F3" s="1196"/>
      <c r="H3" s="1176" t="s">
        <v>3909</v>
      </c>
      <c r="I3" s="1176" t="s">
        <v>3908</v>
      </c>
      <c r="J3" s="1177" t="s">
        <v>3911</v>
      </c>
    </row>
    <row r="4" spans="2:10">
      <c r="C4" s="1196"/>
      <c r="E4" s="1196"/>
      <c r="F4" s="1196"/>
      <c r="H4" s="1190" t="s">
        <v>3916</v>
      </c>
      <c r="I4" s="1190" t="s">
        <v>3917</v>
      </c>
      <c r="J4" s="1191" t="s">
        <v>3918</v>
      </c>
    </row>
    <row r="5" spans="2:10">
      <c r="C5" s="1196"/>
      <c r="E5" s="1196"/>
      <c r="F5" s="1196"/>
      <c r="H5" s="1176" t="s">
        <v>3913</v>
      </c>
      <c r="I5" s="1176" t="s">
        <v>3912</v>
      </c>
      <c r="J5" s="1177" t="s">
        <v>3910</v>
      </c>
    </row>
    <row r="6" spans="2:10">
      <c r="C6" s="1198"/>
      <c r="E6" s="1196"/>
      <c r="F6" s="1196"/>
      <c r="H6" s="1198"/>
      <c r="I6" s="1198"/>
      <c r="J6" s="1177"/>
    </row>
    <row r="7" spans="2:10">
      <c r="C7" s="1198"/>
      <c r="E7" s="1196"/>
      <c r="F7" s="1198"/>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O52"/>
  <sheetViews>
    <sheetView topLeftCell="A28" workbookViewId="0">
      <selection activeCell="E44" sqref="E44"/>
    </sheetView>
  </sheetViews>
  <sheetFormatPr baseColWidth="10" defaultColWidth="11" defaultRowHeight="14.25"/>
  <cols>
    <col min="1" max="1" width="4.75" style="1079" customWidth="1"/>
    <col min="2" max="2" width="5.5" style="1079" customWidth="1"/>
    <col min="3" max="3" width="20" style="1079" customWidth="1"/>
    <col min="4" max="4" width="1.75" style="1079" customWidth="1"/>
    <col min="5" max="7" width="11.125" style="1082" customWidth="1"/>
    <col min="8" max="8" width="8" style="1082" customWidth="1"/>
    <col min="9" max="9" width="1.75" style="1082" customWidth="1"/>
    <col min="10" max="12" width="11.125" style="1082" customWidth="1"/>
    <col min="13" max="13" width="8" style="1082" customWidth="1"/>
    <col min="14" max="14" width="11" style="1079"/>
    <col min="15" max="15" width="10" style="1079" customWidth="1"/>
    <col min="16" max="16" width="11" style="1079"/>
    <col min="17" max="17" width="6.375" style="1079" customWidth="1"/>
    <col min="18" max="16384" width="11" style="1079"/>
  </cols>
  <sheetData>
    <row r="1" spans="1:17" ht="30.75" customHeight="1">
      <c r="C1" s="1246" t="str">
        <f>"Analyse Wholesale "&amp;Parametres!B1</f>
        <v>Analyse Wholesale Volks</v>
      </c>
      <c r="D1" s="1246"/>
      <c r="E1" s="1246"/>
      <c r="F1" s="1246"/>
      <c r="G1" s="1246"/>
      <c r="H1" s="1246"/>
      <c r="I1" s="1246"/>
      <c r="J1" s="1246"/>
      <c r="K1" s="1246"/>
      <c r="L1" s="1080"/>
      <c r="M1" s="1080"/>
      <c r="N1" s="1081"/>
      <c r="O1" s="1081"/>
      <c r="P1" s="1081"/>
      <c r="Q1" s="1081"/>
    </row>
    <row r="2" spans="1:17" ht="14.25" hidden="1" customHeight="1">
      <c r="D2" s="1079" t="s">
        <v>303</v>
      </c>
      <c r="F2" s="1082" t="s">
        <v>338</v>
      </c>
      <c r="G2" s="1082" t="s">
        <v>340</v>
      </c>
      <c r="L2" s="1082" t="s">
        <v>303</v>
      </c>
      <c r="N2" s="1079" t="s">
        <v>338</v>
      </c>
      <c r="O2" s="1079" t="s">
        <v>340</v>
      </c>
    </row>
    <row r="4" spans="1:17" ht="15" customHeight="1">
      <c r="A4" s="1083"/>
      <c r="B4" s="1083"/>
      <c r="E4" s="1247" t="str">
        <f>CONCATENATE("Pièces Wholesale ",Parametres!B3," ",Parametres!B4)</f>
        <v>Pièces Wholesale Juillet 2025</v>
      </c>
      <c r="F4" s="1248"/>
      <c r="G4" s="1248"/>
      <c r="H4" s="1249"/>
      <c r="J4" s="1250" t="str">
        <f>CONCATENATE("Pièces Wholesale AAD ",Parametres!B4)</f>
        <v>Pièces Wholesale AAD 2025</v>
      </c>
      <c r="K4" s="1251"/>
      <c r="L4" s="1251"/>
      <c r="M4" s="1252"/>
    </row>
    <row r="5" spans="1:17" ht="15">
      <c r="A5" s="1083"/>
      <c r="B5" s="1083"/>
      <c r="C5" s="1086"/>
      <c r="D5" s="1087"/>
      <c r="E5" s="1084" t="s">
        <v>656</v>
      </c>
      <c r="F5" s="1085" t="s">
        <v>3864</v>
      </c>
      <c r="G5" s="1084" t="s">
        <v>3865</v>
      </c>
      <c r="H5" s="1085" t="s">
        <v>3866</v>
      </c>
      <c r="J5" s="1084" t="s">
        <v>656</v>
      </c>
      <c r="K5" s="1085" t="s">
        <v>3864</v>
      </c>
      <c r="L5" s="1084" t="s">
        <v>3865</v>
      </c>
      <c r="M5" s="1085" t="s">
        <v>3866</v>
      </c>
    </row>
    <row r="6" spans="1:17" ht="15">
      <c r="A6" s="1083"/>
      <c r="B6" s="1083"/>
      <c r="C6" s="1088" t="s">
        <v>3867</v>
      </c>
      <c r="D6" s="1089"/>
      <c r="E6" s="1090">
        <f>SUMIF(A37:A48,"X",E37:E48)</f>
        <v>558</v>
      </c>
      <c r="F6" s="1091">
        <f>SUMIF(A37:A48,"X",F37:F48)</f>
        <v>0</v>
      </c>
      <c r="G6" s="1090">
        <f>E6-F6</f>
        <v>558</v>
      </c>
      <c r="H6" s="1092" t="e">
        <f>G6/F6</f>
        <v>#DIV/0!</v>
      </c>
      <c r="J6" s="1090">
        <f>SUMIF($B$37:$B$48,"X",$E$37:$E$48)</f>
        <v>3784</v>
      </c>
      <c r="K6" s="1091">
        <f>SUMIF($B$37:$B$48,"X",$F$37:$F$48)</f>
        <v>0</v>
      </c>
      <c r="L6" s="1090">
        <f>J6-K6</f>
        <v>3784</v>
      </c>
      <c r="M6" s="1092" t="e">
        <f>L6/K6</f>
        <v>#DIV/0!</v>
      </c>
    </row>
    <row r="7" spans="1:17">
      <c r="A7" s="1093" t="str">
        <f>B7&amp;C7</f>
        <v>piècesVentes de Gros</v>
      </c>
      <c r="B7" s="1093" t="s">
        <v>3868</v>
      </c>
      <c r="C7" s="1094" t="s">
        <v>187</v>
      </c>
      <c r="D7" s="1095"/>
      <c r="E7" s="1096">
        <f>-SUMIFS(BV_Data_An_Cour!$O:$O,BV_Data_An_Cour!$X:$X,"Oui",BV_Data_An_Cour!$U:$U,$B7,BV_Data_An_Cour!$V:$V,$C7)</f>
        <v>186492.61</v>
      </c>
      <c r="F7" s="1097">
        <f>+INDEX('Budget original'!$A$2:$AO$501,MATCH($A7,'Budget original'!$A$2:$A$501,0),MATCH(F$2,'Budget original'!$A$2:$AO$2,0))</f>
        <v>153843.459</v>
      </c>
      <c r="G7" s="1098">
        <f>E7-F7</f>
        <v>32649.150999999983</v>
      </c>
      <c r="H7" s="1099">
        <f>G7/F7</f>
        <v>0.21222319890766356</v>
      </c>
      <c r="J7" s="1096">
        <f>-SUMIFS(BV_Data_An_Cour!$P:$P,BV_Data_An_Cour!$X:$X,"Oui",BV_Data_An_Cour!$U:$U,$B7,BV_Data_An_Cour!$V:$V,$C7)</f>
        <v>1348594.22</v>
      </c>
      <c r="K7" s="1097" cm="1">
        <f t="array" ref="K7">+SUMPRODUCT(('Budget original'!$A$8:$A$501=$A7)*('Budget original'!$C$3:$AO$3=N$2),'Budget original'!$C$8:$AO$501)</f>
        <v>1096883.8829999999</v>
      </c>
      <c r="L7" s="1098">
        <f t="shared" ref="L7:L10" si="0">J7-K7</f>
        <v>251710.33700000006</v>
      </c>
      <c r="M7" s="1099">
        <f>L7/K7</f>
        <v>0.22947765109973822</v>
      </c>
    </row>
    <row r="8" spans="1:17">
      <c r="A8" s="1093"/>
      <c r="B8" s="1093"/>
      <c r="C8" s="1100" t="s">
        <v>3869</v>
      </c>
      <c r="D8" s="1095"/>
      <c r="E8" s="1101">
        <f>E7-E9</f>
        <v>155905.34</v>
      </c>
      <c r="F8" s="1102">
        <f>F7-F9</f>
        <v>129243.74877607641</v>
      </c>
      <c r="G8" s="1096">
        <f t="shared" ref="G8:G15" si="1">E8-F8</f>
        <v>26661.591223923591</v>
      </c>
      <c r="H8" s="1103">
        <f t="shared" ref="H8:H9" si="2">G8/F8</f>
        <v>0.20628921302891495</v>
      </c>
      <c r="J8" s="1101">
        <f>J7-J9</f>
        <v>1121550.47</v>
      </c>
      <c r="K8" s="1102">
        <f>K7-K9</f>
        <v>921968.54606315983</v>
      </c>
      <c r="L8" s="1096">
        <f t="shared" si="0"/>
        <v>199581.92393684015</v>
      </c>
      <c r="M8" s="1103">
        <f t="shared" ref="M8:M9" si="3">L8/K8</f>
        <v>0.21647367992006064</v>
      </c>
    </row>
    <row r="9" spans="1:17" ht="15">
      <c r="C9" s="1104" t="s">
        <v>202</v>
      </c>
      <c r="D9" s="1095"/>
      <c r="E9" s="1105">
        <f>E12+E11</f>
        <v>30587.26999999999</v>
      </c>
      <c r="F9" s="1106">
        <f>F12+F11</f>
        <v>24599.710223923597</v>
      </c>
      <c r="G9" s="1105">
        <f t="shared" si="1"/>
        <v>5987.5597760763922</v>
      </c>
      <c r="H9" s="1103">
        <f t="shared" si="2"/>
        <v>0.24339960599427704</v>
      </c>
      <c r="J9" s="1105">
        <f>J12+J11</f>
        <v>227043.75</v>
      </c>
      <c r="K9" s="1106">
        <f>K12+K11</f>
        <v>174915.33693684003</v>
      </c>
      <c r="L9" s="1105">
        <f t="shared" si="0"/>
        <v>52128.413063159969</v>
      </c>
      <c r="M9" s="1103">
        <f t="shared" si="3"/>
        <v>0.29802082525206441</v>
      </c>
    </row>
    <row r="10" spans="1:17">
      <c r="A10" s="1093"/>
      <c r="B10" s="1093"/>
      <c r="C10" s="1100" t="s">
        <v>3870</v>
      </c>
      <c r="D10" s="1095"/>
      <c r="E10" s="1107">
        <f>E9/E7</f>
        <v>0.16401330862386446</v>
      </c>
      <c r="F10" s="1108">
        <f>F9/F7</f>
        <v>0.15990091735992232</v>
      </c>
      <c r="G10" s="1107">
        <f t="shared" si="1"/>
        <v>4.1123912639421389E-3</v>
      </c>
      <c r="H10" s="1103"/>
      <c r="J10" s="1107">
        <f>J9/J7</f>
        <v>0.16835586763822849</v>
      </c>
      <c r="K10" s="1108">
        <f>K9/K7</f>
        <v>0.15946568241885639</v>
      </c>
      <c r="L10" s="1107">
        <f t="shared" si="0"/>
        <v>8.8901852193720987E-3</v>
      </c>
      <c r="M10" s="1103"/>
    </row>
    <row r="11" spans="1:17">
      <c r="A11" s="1093"/>
      <c r="B11" s="1093"/>
      <c r="C11" s="1109" t="s">
        <v>3871</v>
      </c>
      <c r="D11" s="1095"/>
      <c r="E11" s="1098">
        <f>SUMIFS(BV_Data_An_Cour!$O:$O,BV_Data_An_Cour!$W:$W,$D$2,BV_Data_An_Cour!L:L,C31)</f>
        <v>6166.35</v>
      </c>
      <c r="F11" s="1110">
        <f>SUMIF($A$37:$A$48,"X",$G$37:$G$48)</f>
        <v>3830.8432589235963</v>
      </c>
      <c r="G11" s="1098">
        <f t="shared" si="1"/>
        <v>2335.5067410764041</v>
      </c>
      <c r="H11" s="1099">
        <f t="shared" ref="H11:H12" si="4">G11/F11</f>
        <v>0.60965865299658406</v>
      </c>
      <c r="J11" s="1098">
        <f>SUMIFS(BV_Data_An_Cour!$P:$P,BV_Data_An_Cour!$W:$W,$L$2,BV_Data_An_Cour!T:T,C31)</f>
        <v>44668.31</v>
      </c>
      <c r="K11" s="1110">
        <f>SUMIF($B$37:$B$48,"X",$G$37:$G$48)</f>
        <v>26836.012731840034</v>
      </c>
      <c r="L11" s="1098">
        <f>J11-K11</f>
        <v>17832.297268159964</v>
      </c>
      <c r="M11" s="1099">
        <f t="shared" ref="M11:M12" si="5">L11/K11</f>
        <v>0.6644913104770791</v>
      </c>
    </row>
    <row r="12" spans="1:17" ht="15">
      <c r="A12" s="1111" t="s">
        <v>187</v>
      </c>
      <c r="B12" s="1093" t="s">
        <v>3868</v>
      </c>
      <c r="C12" s="1104" t="s">
        <v>3872</v>
      </c>
      <c r="D12" s="1095"/>
      <c r="E12" s="1105">
        <f>-SUMIFS(BV_Data_An_Cour!$O:$O,BV_Data_An_Cour!$U:$U,$B12,BV_Data_An_Cour!$V:$V,$A12,BV_Data_An_Cour!$W:$W,$D$2)</f>
        <v>24420.919999999991</v>
      </c>
      <c r="F12" s="1106">
        <f>+INDEX('Budget original'!$A$2:$AO$501,MATCH(B12&amp;$A12,'Budget original'!$A$2:$A$501,0),MATCH(G$2,'Budget original'!$A$2:$AO$2,0))</f>
        <v>20768.866965000001</v>
      </c>
      <c r="G12" s="1105">
        <f t="shared" si="1"/>
        <v>3652.0530349999899</v>
      </c>
      <c r="H12" s="1103">
        <f t="shared" si="4"/>
        <v>0.17584267072221529</v>
      </c>
      <c r="J12" s="1105">
        <f>-SUMIFS(BV_Data_An_Cour!$P:$P,BV_Data_An_Cour!$U:$U,$B12,BV_Data_An_Cour!$V:$V,$A12,BV_Data_An_Cour!$W:$W,$D$2)</f>
        <v>182375.44</v>
      </c>
      <c r="K12" s="1106" cm="1">
        <f t="array" ref="K12">+SUMPRODUCT(('Budget original'!$A$8:$A$501=B12&amp;$A12)*('Budget original'!$C$3:$AO$3=O$2),'Budget original'!$C$8:$AO$501)</f>
        <v>148079.32420500001</v>
      </c>
      <c r="L12" s="1105">
        <f t="shared" ref="L12:L16" si="6">J12-K12</f>
        <v>34296.115794999991</v>
      </c>
      <c r="M12" s="1103">
        <f t="shared" si="5"/>
        <v>0.23160637704910567</v>
      </c>
    </row>
    <row r="13" spans="1:17">
      <c r="A13" s="1083"/>
      <c r="B13" s="1083"/>
      <c r="C13" s="1100" t="s">
        <v>119</v>
      </c>
      <c r="D13" s="1095"/>
      <c r="E13" s="1107">
        <f>(E12)/E7</f>
        <v>0.13094845956630663</v>
      </c>
      <c r="F13" s="1108">
        <f>(F12)/F7</f>
        <v>0.13500000000000001</v>
      </c>
      <c r="G13" s="1112">
        <f t="shared" si="1"/>
        <v>-4.0515404336933791E-3</v>
      </c>
      <c r="H13" s="1113"/>
      <c r="J13" s="1107">
        <f>(J12)/J7</f>
        <v>0.13523373991622181</v>
      </c>
      <c r="K13" s="1108">
        <f>(K12)/K7</f>
        <v>0.13500000000000001</v>
      </c>
      <c r="L13" s="1112">
        <f t="shared" si="6"/>
        <v>2.3373991622180346E-4</v>
      </c>
      <c r="M13" s="1113"/>
    </row>
    <row r="14" spans="1:17">
      <c r="A14" s="1083"/>
      <c r="B14" s="1083"/>
      <c r="C14" s="1109" t="s">
        <v>3873</v>
      </c>
      <c r="D14" s="1095"/>
      <c r="E14" s="1098">
        <f>SUMIFS(BV_Data_An_Cour!$O:$O,BV_Data_An_Cour!$W:$W,$D$2,BV_Data_An_Cour!L:L,C33)</f>
        <v>11160</v>
      </c>
      <c r="F14" s="1114">
        <f>SUMIF(A37:A48,"X",F37:F48)*$G$33</f>
        <v>0</v>
      </c>
      <c r="G14" s="1096">
        <f>E14-F14</f>
        <v>11160</v>
      </c>
      <c r="H14" s="1103" t="e">
        <f t="shared" ref="H14:H15" si="7">G14/F14</f>
        <v>#DIV/0!</v>
      </c>
      <c r="J14" s="1098">
        <f>SUMIFS(BV_Data_An_Cour!$P:$P,BV_Data_An_Cour!$W:$W,$L$2,BV_Data_An_Cour!T:T,C33)</f>
        <v>75680</v>
      </c>
      <c r="K14" s="1114">
        <f>SUMIF(B37:B48,"X",F37:F48)*$G$33</f>
        <v>0</v>
      </c>
      <c r="L14" s="1096">
        <f t="shared" si="6"/>
        <v>75680</v>
      </c>
      <c r="M14" s="1103" t="e">
        <f t="shared" ref="M14:M15" si="8">L14/K14</f>
        <v>#DIV/0!</v>
      </c>
    </row>
    <row r="15" spans="1:17" ht="15">
      <c r="C15" s="1104" t="s">
        <v>3874</v>
      </c>
      <c r="D15" s="1095"/>
      <c r="E15" s="1105">
        <f>E12-E14</f>
        <v>13260.919999999991</v>
      </c>
      <c r="F15" s="1106">
        <f t="shared" ref="F15" si="9">F12-F14</f>
        <v>20768.866965000001</v>
      </c>
      <c r="G15" s="1105">
        <f t="shared" si="1"/>
        <v>-7507.9469650000101</v>
      </c>
      <c r="H15" s="1103">
        <f t="shared" si="7"/>
        <v>-0.36150007497532305</v>
      </c>
      <c r="J15" s="1105">
        <f t="shared" ref="J15:K15" si="10">J12-J14</f>
        <v>106695.44</v>
      </c>
      <c r="K15" s="1106">
        <f t="shared" si="10"/>
        <v>148079.32420500001</v>
      </c>
      <c r="L15" s="1105">
        <f t="shared" si="6"/>
        <v>-41383.884205000009</v>
      </c>
      <c r="M15" s="1103">
        <f t="shared" si="8"/>
        <v>-0.27947104990638966</v>
      </c>
    </row>
    <row r="16" spans="1:17">
      <c r="C16" s="1115" t="s">
        <v>3875</v>
      </c>
      <c r="D16" s="1116"/>
      <c r="E16" s="1112">
        <f>E15/E7</f>
        <v>7.110694627524379E-2</v>
      </c>
      <c r="F16" s="1117">
        <f>F15/F7</f>
        <v>0.13500000000000001</v>
      </c>
      <c r="G16" s="1112">
        <f>E16-F16</f>
        <v>-6.3893053724756219E-2</v>
      </c>
      <c r="H16" s="1117"/>
      <c r="J16" s="1112">
        <f>J15/J7</f>
        <v>7.911604426126044E-2</v>
      </c>
      <c r="K16" s="1117">
        <f>K15/K7</f>
        <v>0.13500000000000001</v>
      </c>
      <c r="L16" s="1112">
        <f t="shared" si="6"/>
        <v>-5.5883955738739569E-2</v>
      </c>
      <c r="M16" s="1118"/>
    </row>
    <row r="17" spans="3:13">
      <c r="C17" s="1119"/>
      <c r="G17" s="1120"/>
      <c r="K17" s="1120"/>
    </row>
    <row r="18" spans="3:13" ht="15">
      <c r="E18" s="1247" t="str">
        <f>CONCATENATE("Pièces Wholesale $ / livraison ",Parametres!B3," ",Parametres!B4)</f>
        <v>Pièces Wholesale $ / livraison Juillet 2025</v>
      </c>
      <c r="F18" s="1248"/>
      <c r="G18" s="1248"/>
      <c r="H18" s="1249"/>
      <c r="J18" s="1250" t="str">
        <f>CONCATENATE("Pièces Wholesale AAD $ / livraison ",Parametres!B4)</f>
        <v>Pièces Wholesale AAD $ / livraison 2025</v>
      </c>
      <c r="K18" s="1251"/>
      <c r="L18" s="1251"/>
      <c r="M18" s="1252"/>
    </row>
    <row r="19" spans="3:13" ht="15">
      <c r="C19" s="1086"/>
      <c r="D19" s="1087"/>
      <c r="E19" s="1084" t="s">
        <v>656</v>
      </c>
      <c r="F19" s="1085" t="s">
        <v>3864</v>
      </c>
      <c r="G19" s="1084" t="s">
        <v>3865</v>
      </c>
      <c r="H19" s="1085" t="s">
        <v>3866</v>
      </c>
      <c r="J19" s="1084" t="s">
        <v>656</v>
      </c>
      <c r="K19" s="1085" t="s">
        <v>3864</v>
      </c>
      <c r="L19" s="1084" t="s">
        <v>3865</v>
      </c>
      <c r="M19" s="1085" t="s">
        <v>3866</v>
      </c>
    </row>
    <row r="20" spans="3:13">
      <c r="C20" s="1094" t="s">
        <v>187</v>
      </c>
      <c r="D20" s="1095"/>
      <c r="E20" s="1096">
        <f>E7/E$6</f>
        <v>334.21614695340497</v>
      </c>
      <c r="F20" s="1097" t="e">
        <f>F7/F$6</f>
        <v>#DIV/0!</v>
      </c>
      <c r="G20" s="1098" t="e">
        <f t="shared" ref="G20:G25" si="11">E20-F20</f>
        <v>#DIV/0!</v>
      </c>
      <c r="H20" s="1099" t="e">
        <f t="shared" ref="H20:H26" si="12">G20/F20</f>
        <v>#DIV/0!</v>
      </c>
      <c r="J20" s="1096">
        <f>J7/J$6</f>
        <v>356.3938213530655</v>
      </c>
      <c r="K20" s="1097" t="e">
        <f>K7/K$6</f>
        <v>#DIV/0!</v>
      </c>
      <c r="L20" s="1098" t="e">
        <f t="shared" ref="L20:L25" si="13">J20-K20</f>
        <v>#DIV/0!</v>
      </c>
      <c r="M20" s="1099" t="e">
        <f t="shared" ref="M20:M26" si="14">L20/K20</f>
        <v>#DIV/0!</v>
      </c>
    </row>
    <row r="21" spans="3:13">
      <c r="C21" s="1100" t="s">
        <v>3869</v>
      </c>
      <c r="D21" s="1095"/>
      <c r="E21" s="1101">
        <f t="shared" ref="E21:F22" si="15">E8/E$6</f>
        <v>279.40025089605734</v>
      </c>
      <c r="F21" s="1102" t="e">
        <f>F8/F$6</f>
        <v>#DIV/0!</v>
      </c>
      <c r="G21" s="1096" t="e">
        <f t="shared" si="11"/>
        <v>#DIV/0!</v>
      </c>
      <c r="H21" s="1103" t="e">
        <f t="shared" si="12"/>
        <v>#DIV/0!</v>
      </c>
      <c r="J21" s="1101">
        <f t="shared" ref="J21:K22" si="16">J8/J$6</f>
        <v>296.39283033826638</v>
      </c>
      <c r="K21" s="1102" t="e">
        <f t="shared" si="16"/>
        <v>#DIV/0!</v>
      </c>
      <c r="L21" s="1096" t="e">
        <f t="shared" si="13"/>
        <v>#DIV/0!</v>
      </c>
      <c r="M21" s="1103" t="e">
        <f t="shared" si="14"/>
        <v>#DIV/0!</v>
      </c>
    </row>
    <row r="22" spans="3:13" ht="15">
      <c r="C22" s="1104" t="s">
        <v>202</v>
      </c>
      <c r="D22" s="1095"/>
      <c r="E22" s="1105">
        <f>E9/E$6</f>
        <v>54.815896057347651</v>
      </c>
      <c r="F22" s="1106" t="e">
        <f t="shared" si="15"/>
        <v>#DIV/0!</v>
      </c>
      <c r="G22" s="1105" t="e">
        <f t="shared" si="11"/>
        <v>#DIV/0!</v>
      </c>
      <c r="H22" s="1103" t="e">
        <f t="shared" si="12"/>
        <v>#DIV/0!</v>
      </c>
      <c r="J22" s="1105">
        <f t="shared" si="16"/>
        <v>60.000991014799155</v>
      </c>
      <c r="K22" s="1106" t="e">
        <f t="shared" si="16"/>
        <v>#DIV/0!</v>
      </c>
      <c r="L22" s="1105" t="e">
        <f t="shared" si="13"/>
        <v>#DIV/0!</v>
      </c>
      <c r="M22" s="1103" t="e">
        <f t="shared" si="14"/>
        <v>#DIV/0!</v>
      </c>
    </row>
    <row r="23" spans="3:13">
      <c r="C23" s="1109" t="s">
        <v>3871</v>
      </c>
      <c r="D23" s="1095"/>
      <c r="E23" s="1098">
        <f>E11/E$6</f>
        <v>11.050806451612903</v>
      </c>
      <c r="F23" s="1110" t="e">
        <f>F11/F$6</f>
        <v>#DIV/0!</v>
      </c>
      <c r="G23" s="1098" t="e">
        <f t="shared" si="11"/>
        <v>#DIV/0!</v>
      </c>
      <c r="H23" s="1099" t="e">
        <f t="shared" si="12"/>
        <v>#DIV/0!</v>
      </c>
      <c r="J23" s="1098">
        <f t="shared" ref="J23:K23" si="17">J11/J$6</f>
        <v>11.804521670190274</v>
      </c>
      <c r="K23" s="1110" t="e">
        <f t="shared" si="17"/>
        <v>#DIV/0!</v>
      </c>
      <c r="L23" s="1098" t="e">
        <f t="shared" si="13"/>
        <v>#DIV/0!</v>
      </c>
      <c r="M23" s="1099" t="e">
        <f t="shared" si="14"/>
        <v>#DIV/0!</v>
      </c>
    </row>
    <row r="24" spans="3:13" ht="15">
      <c r="C24" s="1104" t="s">
        <v>3872</v>
      </c>
      <c r="D24" s="1095"/>
      <c r="E24" s="1105">
        <f>E12/E$6</f>
        <v>43.765089605734751</v>
      </c>
      <c r="F24" s="1106" t="e">
        <f>F12/F$6</f>
        <v>#DIV/0!</v>
      </c>
      <c r="G24" s="1121" t="e">
        <f t="shared" si="11"/>
        <v>#DIV/0!</v>
      </c>
      <c r="H24" s="1113" t="e">
        <f t="shared" si="12"/>
        <v>#DIV/0!</v>
      </c>
      <c r="J24" s="1105">
        <f>J12/J$6</f>
        <v>48.196469344608879</v>
      </c>
      <c r="K24" s="1106" t="e">
        <f>K12/K$6</f>
        <v>#DIV/0!</v>
      </c>
      <c r="L24" s="1121" t="e">
        <f t="shared" si="13"/>
        <v>#DIV/0!</v>
      </c>
      <c r="M24" s="1113" t="e">
        <f t="shared" si="14"/>
        <v>#DIV/0!</v>
      </c>
    </row>
    <row r="25" spans="3:13" ht="15">
      <c r="C25" s="1109" t="s">
        <v>3873</v>
      </c>
      <c r="D25" s="1095"/>
      <c r="E25" s="1122">
        <f>E14/E$6</f>
        <v>20</v>
      </c>
      <c r="F25" s="1114" t="e">
        <f>F14/F$6</f>
        <v>#DIV/0!</v>
      </c>
      <c r="G25" s="1096" t="e">
        <f t="shared" si="11"/>
        <v>#DIV/0!</v>
      </c>
      <c r="H25" s="1103" t="e">
        <f t="shared" si="12"/>
        <v>#DIV/0!</v>
      </c>
      <c r="J25" s="1098">
        <f t="shared" ref="J25:K25" si="18">J14/J$6</f>
        <v>20</v>
      </c>
      <c r="K25" s="1114" t="e">
        <f t="shared" si="18"/>
        <v>#DIV/0!</v>
      </c>
      <c r="L25" s="1096" t="e">
        <f t="shared" si="13"/>
        <v>#DIV/0!</v>
      </c>
      <c r="M25" s="1103" t="e">
        <f t="shared" si="14"/>
        <v>#DIV/0!</v>
      </c>
    </row>
    <row r="26" spans="3:13" ht="15">
      <c r="C26" s="1123" t="s">
        <v>3874</v>
      </c>
      <c r="D26" s="1095"/>
      <c r="E26" s="1121">
        <f>E15/E$6</f>
        <v>23.765089605734751</v>
      </c>
      <c r="F26" s="1124" t="e">
        <f>F15/F$6</f>
        <v>#DIV/0!</v>
      </c>
      <c r="G26" s="1121" t="e">
        <f>E26-F26</f>
        <v>#DIV/0!</v>
      </c>
      <c r="H26" s="1113" t="e">
        <f t="shared" si="12"/>
        <v>#DIV/0!</v>
      </c>
      <c r="J26" s="1121">
        <f>J15/J$6</f>
        <v>28.196469344608879</v>
      </c>
      <c r="K26" s="1124" t="e">
        <f>K15/K$6</f>
        <v>#DIV/0!</v>
      </c>
      <c r="L26" s="1121" t="e">
        <f>J26-K26</f>
        <v>#DIV/0!</v>
      </c>
      <c r="M26" s="1113" t="e">
        <f t="shared" si="14"/>
        <v>#DIV/0!</v>
      </c>
    </row>
    <row r="27" spans="3:13">
      <c r="C27" s="1119"/>
      <c r="G27" s="1120"/>
      <c r="K27" s="1120"/>
    </row>
    <row r="29" spans="3:13">
      <c r="C29" s="1125" t="s">
        <v>3876</v>
      </c>
    </row>
    <row r="30" spans="3:13" ht="15">
      <c r="C30" s="1126" t="s">
        <v>3877</v>
      </c>
      <c r="E30" s="1127" t="s">
        <v>3878</v>
      </c>
      <c r="F30" s="1128"/>
      <c r="G30" s="1129">
        <f>SUMIF(A37:A48,"X",E37:E48)*$G$33-E14</f>
        <v>0</v>
      </c>
      <c r="H30" s="1130" t="s">
        <v>3879</v>
      </c>
    </row>
    <row r="31" spans="3:13" ht="15">
      <c r="C31" s="1131">
        <v>5773</v>
      </c>
      <c r="E31" s="1127" t="s">
        <v>3880</v>
      </c>
      <c r="F31" s="1128"/>
      <c r="G31" s="1129">
        <f>SUMIF(B37:B48,"X",E37:E48)*$G$33-J14</f>
        <v>0</v>
      </c>
      <c r="H31" s="1130" t="s">
        <v>3879</v>
      </c>
    </row>
    <row r="32" spans="3:13">
      <c r="C32" s="1126" t="s">
        <v>3881</v>
      </c>
    </row>
    <row r="33" spans="1:41" ht="15">
      <c r="C33" s="1131">
        <v>6758</v>
      </c>
      <c r="E33" s="1253" t="s">
        <v>3882</v>
      </c>
      <c r="F33" s="1253"/>
      <c r="G33" s="1132">
        <v>20</v>
      </c>
    </row>
    <row r="35" spans="1:41" ht="15">
      <c r="E35" s="1244" t="s">
        <v>3883</v>
      </c>
      <c r="F35" s="1245"/>
    </row>
    <row r="36" spans="1:41" ht="46.5" customHeight="1">
      <c r="A36" s="1133" t="s">
        <v>3</v>
      </c>
      <c r="B36" s="1133" t="s">
        <v>4</v>
      </c>
      <c r="C36" s="1134" t="s">
        <v>3</v>
      </c>
      <c r="D36" s="1128"/>
      <c r="E36" s="1135" t="s">
        <v>656</v>
      </c>
      <c r="F36" s="1135" t="s">
        <v>3884</v>
      </c>
      <c r="G36" s="1136" t="s">
        <v>3885</v>
      </c>
      <c r="H36" s="1079" t="str">
        <f>+IF(Parametres!$B$3=H$38,"X","")</f>
        <v/>
      </c>
      <c r="I36" s="1082" t="str">
        <f>+IF(Parametres!$B$3=I$38,"X","")</f>
        <v/>
      </c>
      <c r="J36" s="1082" t="str">
        <f>+IF(Parametres!$B$3=J$38,"X","")</f>
        <v/>
      </c>
      <c r="K36" s="1082" t="str">
        <f>+IF(Parametres!$B$3=K$38,"X","")</f>
        <v/>
      </c>
      <c r="L36" s="1082" t="str">
        <f>+IF(Parametres!$B$3=L$38,"X","")</f>
        <v/>
      </c>
      <c r="M36" s="1082" t="str">
        <f>+IF(Parametres!$B$3=M$38,"X","")</f>
        <v/>
      </c>
      <c r="N36" s="1082" t="str">
        <f>+IF(Parametres!$B$3=N$38,"X","")</f>
        <v/>
      </c>
      <c r="O36" s="1082" t="str">
        <f>+IF(Parametres!$B$3=O$38,"X","")</f>
        <v/>
      </c>
      <c r="P36" s="1082" t="str">
        <f>+IF(Parametres!$B$3=P$38,"X","")</f>
        <v/>
      </c>
      <c r="Q36" s="1082" t="str">
        <f>+IF(Parametres!$B$3=Q$38,"X","")</f>
        <v/>
      </c>
      <c r="R36" s="1079" t="str">
        <f>+IF(Parametres!$B$3=R$38,"X","")</f>
        <v/>
      </c>
      <c r="S36" s="1079" t="str">
        <f>+IF(Parametres!$B$3=S$38,"X","")</f>
        <v/>
      </c>
      <c r="U36" s="1079" t="str">
        <f>+IF(Parametres!$B$3=N$7,"X","")</f>
        <v/>
      </c>
      <c r="V36" s="1079" t="str">
        <f>+IF(Parametres!$B$3=N$7,"O","")</f>
        <v/>
      </c>
      <c r="W36" s="1079" t="str">
        <f>+IF(Parametres!$B$3=N$7,"U","")</f>
        <v/>
      </c>
      <c r="X36" s="1079" t="str">
        <f>+IF(Parametres!$B$3=Q$7,"X","")</f>
        <v/>
      </c>
      <c r="Y36" s="1079" t="str">
        <f>+IF(Parametres!$B$3=Q$7,"O","")</f>
        <v/>
      </c>
      <c r="Z36" s="1079" t="str">
        <f>+IF(Parametres!$B$3=Q$7,"U","")</f>
        <v/>
      </c>
      <c r="AA36" s="1079" t="str">
        <f>+IF(Parametres!$B$3=T$7,"X","")</f>
        <v/>
      </c>
      <c r="AB36" s="1079" t="str">
        <f>+IF(Parametres!$B$3=T$7,"O","")</f>
        <v/>
      </c>
      <c r="AC36" s="1079" t="str">
        <f>+IF(Parametres!$B$3=T$7,"U","")</f>
        <v/>
      </c>
      <c r="AD36" s="1079" t="str">
        <f>+IF(Parametres!$B$3=W$7,"X","")</f>
        <v/>
      </c>
      <c r="AE36" s="1079" t="str">
        <f>+IF(Parametres!$B$3=W$7,"O","")</f>
        <v/>
      </c>
      <c r="AF36" s="1079" t="str">
        <f>+IF(Parametres!$B$3=W$7,"U","")</f>
        <v/>
      </c>
      <c r="AG36" s="1079" t="str">
        <f>+IF(Parametres!$B$3=Z$7,"X","")</f>
        <v/>
      </c>
      <c r="AH36" s="1079" t="str">
        <f>+IF(Parametres!$B$3=Z$7,"O","")</f>
        <v/>
      </c>
      <c r="AI36" s="1079" t="str">
        <f>+IF(Parametres!$B$3=Z$7,"U","")</f>
        <v/>
      </c>
      <c r="AJ36" s="1079" t="str">
        <f>+IF(Parametres!$B$3=AC$7,"X","")</f>
        <v/>
      </c>
      <c r="AK36" s="1079" t="str">
        <f>+IF(Parametres!$B$3=AC$7,"O","")</f>
        <v/>
      </c>
      <c r="AL36" s="1079" t="str">
        <f>+IF(Parametres!$B$3=AC$7,"U","")</f>
        <v/>
      </c>
      <c r="AM36" s="1079" t="str">
        <f>+IF(Parametres!$B$3=AF$7,"X","")</f>
        <v/>
      </c>
      <c r="AN36" s="1079" t="str">
        <f>+IF(Parametres!$B$3=AF$7,"O","")</f>
        <v/>
      </c>
      <c r="AO36" s="1079" t="str">
        <f>+IF(Parametres!$B$3=AF$7,"U","")</f>
        <v/>
      </c>
    </row>
    <row r="37" spans="1:41" ht="15">
      <c r="A37" s="1137" t="str">
        <f>+IF(Parametres!$B$3=$C37,"X","")</f>
        <v/>
      </c>
      <c r="B37" s="1137" t="str">
        <f>+IF(VLOOKUP($C37,Parametres!$K$3:$N$14,4,0)="X","X","")</f>
        <v>X</v>
      </c>
      <c r="C37" s="1138" t="s">
        <v>8</v>
      </c>
      <c r="E37" s="1139">
        <v>557</v>
      </c>
      <c r="F37" s="1139"/>
      <c r="G37" s="1139">
        <v>4014.4</v>
      </c>
      <c r="H37" s="1079" t="e">
        <f>ARRONDI</f>
        <v>#NAME?</v>
      </c>
      <c r="I37" s="1079"/>
      <c r="J37" s="1179"/>
      <c r="K37" s="1153"/>
      <c r="L37" s="1079"/>
      <c r="M37" s="1079"/>
    </row>
    <row r="38" spans="1:41" ht="15">
      <c r="A38" s="1137" t="str">
        <f>+IF(Parametres!$B$3=$C38,"X","")</f>
        <v/>
      </c>
      <c r="B38" s="1137" t="str">
        <f>+IF(VLOOKUP($C38,Parametres!$K$3:$N$14,4,0)="X","X","")</f>
        <v>X</v>
      </c>
      <c r="C38" s="1140" t="s">
        <v>10</v>
      </c>
      <c r="E38" s="1139">
        <v>503</v>
      </c>
      <c r="F38" s="1139"/>
      <c r="G38" s="1139">
        <v>3551.28</v>
      </c>
      <c r="H38" s="1079"/>
      <c r="I38" s="1079"/>
      <c r="J38" s="1179"/>
      <c r="K38" s="1079"/>
      <c r="L38" s="1079"/>
      <c r="M38" s="1079"/>
    </row>
    <row r="39" spans="1:41" ht="15">
      <c r="A39" s="1079" t="str">
        <f>+IF(Parametres!$B$3=$C39,"X","")</f>
        <v/>
      </c>
      <c r="B39" s="1079" t="str">
        <f>+IF(VLOOKUP($C39,Parametres!$K$3:$N$14,4,0)="X","X","")</f>
        <v>X</v>
      </c>
      <c r="C39" s="1140" t="s">
        <v>11</v>
      </c>
      <c r="E39" s="1139">
        <v>525</v>
      </c>
      <c r="F39" s="1139"/>
      <c r="G39" s="1139">
        <v>4269.5213600121897</v>
      </c>
      <c r="H39" s="1079"/>
      <c r="I39" s="1079"/>
      <c r="J39" s="1179"/>
      <c r="K39" s="1079"/>
      <c r="L39" s="1079"/>
      <c r="M39" s="1079"/>
    </row>
    <row r="40" spans="1:41" ht="15">
      <c r="A40" s="1079" t="str">
        <f>+IF(Parametres!$B$3=$C40,"X","")</f>
        <v/>
      </c>
      <c r="B40" s="1079" t="str">
        <f>+IF(VLOOKUP($C40,Parametres!$K$3:$N$14,4,0)="X","X","")</f>
        <v>X</v>
      </c>
      <c r="C40" s="1140" t="s">
        <v>12</v>
      </c>
      <c r="E40" s="1139">
        <v>537</v>
      </c>
      <c r="F40" s="1139"/>
      <c r="G40" s="1139">
        <v>3179.2297395705646</v>
      </c>
      <c r="H40" s="1079"/>
      <c r="I40" s="1079"/>
      <c r="J40" s="1179"/>
      <c r="K40" s="1079"/>
      <c r="L40" s="1079"/>
      <c r="M40" s="1079"/>
    </row>
    <row r="41" spans="1:41" ht="15">
      <c r="A41" s="1079" t="str">
        <f>+IF(Parametres!$B$3=$C41,"X","")</f>
        <v/>
      </c>
      <c r="B41" s="1079" t="str">
        <f>+IF(VLOOKUP($C41,Parametres!$K$3:$N$14,4,0)="X","X","")</f>
        <v>X</v>
      </c>
      <c r="C41" s="1140" t="s">
        <v>13</v>
      </c>
      <c r="E41" s="1139">
        <v>562</v>
      </c>
      <c r="F41" s="1139"/>
      <c r="G41" s="1139">
        <v>4267.0566844986533</v>
      </c>
      <c r="H41" s="1079"/>
      <c r="I41" s="1079"/>
      <c r="J41" s="1179"/>
      <c r="K41" s="1181"/>
      <c r="L41" s="1079"/>
      <c r="M41" s="1079"/>
    </row>
    <row r="42" spans="1:41" ht="15">
      <c r="A42" s="1079" t="str">
        <f>+IF(Parametres!$B$3=$C42,"X","")</f>
        <v/>
      </c>
      <c r="B42" s="1079" t="str">
        <f>+IF(VLOOKUP($C42,Parametres!$K$3:$N$14,4,0)="X","X","")</f>
        <v>X</v>
      </c>
      <c r="C42" s="1140" t="s">
        <v>14</v>
      </c>
      <c r="E42" s="1139">
        <v>542</v>
      </c>
      <c r="F42" s="1139"/>
      <c r="G42" s="1139">
        <v>3723.6816888350295</v>
      </c>
      <c r="J42" s="1180"/>
      <c r="N42" s="1082"/>
      <c r="O42" s="1082"/>
      <c r="P42" s="1082"/>
      <c r="Q42" s="1082"/>
      <c r="R42" s="1128"/>
      <c r="S42" s="1128"/>
    </row>
    <row r="43" spans="1:41" ht="15">
      <c r="A43" s="1079" t="str">
        <f>+IF(Parametres!$B$3=$C43,"X","")</f>
        <v>X</v>
      </c>
      <c r="B43" s="1079" t="str">
        <f>+IF(VLOOKUP($C43,Parametres!$K$3:$N$14,4,0)="X","X","")</f>
        <v>X</v>
      </c>
      <c r="C43" s="1140" t="s">
        <v>16</v>
      </c>
      <c r="E43" s="1139">
        <v>558</v>
      </c>
      <c r="F43" s="1139"/>
      <c r="G43" s="1139">
        <v>3830.8432589235963</v>
      </c>
      <c r="N43" s="1082"/>
      <c r="O43" s="1082"/>
      <c r="P43" s="1082"/>
      <c r="Q43" s="1082"/>
      <c r="R43" s="1128"/>
      <c r="S43" s="1128"/>
    </row>
    <row r="44" spans="1:41" ht="15">
      <c r="A44" s="1079" t="str">
        <f>+IF(Parametres!$B$3=$C44,"X","")</f>
        <v/>
      </c>
      <c r="B44" s="1079" t="str">
        <f>+IF(VLOOKUP($C44,Parametres!$K$3:$N$14,4,0)="X","X","")</f>
        <v/>
      </c>
      <c r="C44" s="1140" t="s">
        <v>18</v>
      </c>
      <c r="E44" s="1139"/>
      <c r="F44" s="1139"/>
      <c r="G44" s="1139">
        <v>4360.9631518134156</v>
      </c>
      <c r="H44" s="1128"/>
      <c r="I44" s="1129"/>
      <c r="N44" s="1082"/>
      <c r="O44" s="1082"/>
      <c r="P44" s="1082"/>
      <c r="Q44" s="1082"/>
      <c r="R44" s="1128"/>
      <c r="S44" s="1128"/>
    </row>
    <row r="45" spans="1:41" ht="15">
      <c r="A45" s="1079" t="str">
        <f>+IF(Parametres!$B$3=$C45,"X","")</f>
        <v/>
      </c>
      <c r="B45" s="1079" t="str">
        <f>+IF(VLOOKUP($C45,Parametres!$K$3:$N$14,4,0)="X","X","")</f>
        <v/>
      </c>
      <c r="C45" s="1140" t="s">
        <v>20</v>
      </c>
      <c r="E45" s="1139"/>
      <c r="F45" s="1139"/>
      <c r="G45" s="1139">
        <v>4652.1062293742398</v>
      </c>
      <c r="H45" s="1128"/>
      <c r="I45" s="1129"/>
      <c r="N45" s="1082"/>
      <c r="O45" s="1082"/>
      <c r="P45" s="1082"/>
      <c r="Q45" s="1082"/>
      <c r="R45" s="1128"/>
      <c r="S45" s="1128"/>
    </row>
    <row r="46" spans="1:41" ht="18" customHeight="1">
      <c r="A46" s="1079" t="str">
        <f>+IF(Parametres!$B$3=$C46,"X","")</f>
        <v/>
      </c>
      <c r="B46" s="1079" t="str">
        <f>+IF(VLOOKUP($C46,Parametres!$K$3:$N$14,4,0)="X","X","")</f>
        <v/>
      </c>
      <c r="C46" s="1140" t="s">
        <v>22</v>
      </c>
      <c r="E46" s="1139"/>
      <c r="F46" s="1139"/>
      <c r="G46" s="1139">
        <v>4057.5556394164596</v>
      </c>
      <c r="H46" s="1128"/>
      <c r="I46" s="1129"/>
      <c r="N46" s="1082"/>
      <c r="O46" s="1082"/>
      <c r="P46" s="1082"/>
      <c r="Q46" s="1082"/>
      <c r="R46" s="1128"/>
      <c r="S46" s="1128"/>
    </row>
    <row r="47" spans="1:41" ht="15">
      <c r="A47" s="1079" t="str">
        <f>+IF(Parametres!$B$3=$C47,"X","")</f>
        <v/>
      </c>
      <c r="B47" s="1079" t="str">
        <f>+IF(VLOOKUP($C47,Parametres!$K$3:$N$14,4,0)="X","X","")</f>
        <v/>
      </c>
      <c r="C47" s="1141" t="s">
        <v>23</v>
      </c>
      <c r="E47" s="1139"/>
      <c r="F47" s="1139"/>
      <c r="G47" s="1139">
        <v>4856.9570339905476</v>
      </c>
    </row>
    <row r="48" spans="1:41" ht="15">
      <c r="A48" s="1079" t="str">
        <f>+IF(Parametres!$B$3=$C48,"X","")</f>
        <v/>
      </c>
      <c r="B48" s="1079" t="str">
        <f>+IF(VLOOKUP($C48,Parametres!$K$3:$N$14,4,0)="X","X","")</f>
        <v/>
      </c>
      <c r="C48" s="1142" t="s">
        <v>6</v>
      </c>
      <c r="E48" s="1143"/>
      <c r="F48" s="1143"/>
      <c r="G48" s="1143">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4" t="s">
        <v>644</v>
      </c>
      <c r="C1" s="1255"/>
      <c r="D1" s="1255"/>
      <c r="E1" s="1255"/>
      <c r="F1" s="1255"/>
      <c r="G1" s="1255"/>
      <c r="H1" s="1255"/>
      <c r="I1" s="1255"/>
      <c r="J1" s="1255"/>
      <c r="K1" s="1255"/>
      <c r="L1" s="1255"/>
      <c r="M1" s="1255"/>
      <c r="N1" s="1255"/>
      <c r="O1" s="1255"/>
      <c r="P1" s="1255"/>
      <c r="Q1" s="1255"/>
      <c r="R1" s="1255"/>
      <c r="S1" s="1255"/>
      <c r="T1" s="125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81</v>
      </c>
      <c r="D5" s="560">
        <f>Print_Mois!L27/Print_Mois!J27</f>
        <v>3311.6235802469164</v>
      </c>
      <c r="E5" s="561">
        <f t="shared" ref="E5:E6" si="0">+C5*D5</f>
        <v>268241.51000000024</v>
      </c>
      <c r="F5" s="3"/>
      <c r="G5" s="231" t="s">
        <v>656</v>
      </c>
      <c r="H5" s="559">
        <f>Print_Mois!J108</f>
        <v>79</v>
      </c>
      <c r="I5" s="560">
        <f>Print_Mois!L108/Print_Mois!J108</f>
        <v>1686.9216455696203</v>
      </c>
      <c r="J5" s="561">
        <f t="shared" ref="J5:J6" si="1">+H5*I5</f>
        <v>133266.81</v>
      </c>
      <c r="K5" s="3"/>
      <c r="L5" s="231" t="s">
        <v>656</v>
      </c>
      <c r="M5" s="560">
        <f>Print_Mois!K194</f>
        <v>337642.8</v>
      </c>
      <c r="N5" s="562">
        <f t="shared" ref="N5:N6" si="2">O5/M5</f>
        <v>0.71467000036725203</v>
      </c>
      <c r="O5" s="560">
        <f>Print_Mois!L194</f>
        <v>241303.18</v>
      </c>
      <c r="P5" s="3"/>
      <c r="Q5" s="231" t="s">
        <v>656</v>
      </c>
      <c r="R5" s="563">
        <f>Print_Mois!J185</f>
        <v>862</v>
      </c>
      <c r="S5" s="560">
        <f>Print_Mois!K185/Print_Mois!J185</f>
        <v>355.100939675174</v>
      </c>
      <c r="T5" s="561">
        <f t="shared" ref="T5:T6" si="3">+R5*S5</f>
        <v>306097.01</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81</v>
      </c>
      <c r="D7" s="570" t="e">
        <f t="shared" si="4"/>
        <v>#DIV/0!</v>
      </c>
      <c r="E7" s="571" t="e">
        <f t="shared" si="4"/>
        <v>#DIV/0!</v>
      </c>
      <c r="F7" s="3"/>
      <c r="G7" s="133" t="s">
        <v>655</v>
      </c>
      <c r="H7" s="569">
        <f t="shared" ref="H7:J7" si="5">+H5-H6</f>
        <v>79</v>
      </c>
      <c r="I7" s="570" t="e">
        <f t="shared" si="5"/>
        <v>#DIV/0!</v>
      </c>
      <c r="J7" s="571" t="e">
        <f t="shared" si="5"/>
        <v>#DIV/0!</v>
      </c>
      <c r="K7" s="3"/>
      <c r="L7" s="133" t="s">
        <v>655</v>
      </c>
      <c r="M7" s="570">
        <f t="shared" ref="M7:O7" si="6">+M5-M6</f>
        <v>337642.8</v>
      </c>
      <c r="N7" s="572" t="e">
        <f t="shared" si="6"/>
        <v>#DIV/0!</v>
      </c>
      <c r="O7" s="571">
        <f t="shared" si="6"/>
        <v>241303.18</v>
      </c>
      <c r="P7" s="3"/>
      <c r="Q7" s="133" t="s">
        <v>655</v>
      </c>
      <c r="R7" s="573">
        <f t="shared" ref="R7:T7" si="7">+R5-R6</f>
        <v>862</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81</v>
      </c>
      <c r="D10" s="561">
        <f t="shared" si="12"/>
        <v>3311.6235802469164</v>
      </c>
      <c r="E10" s="566">
        <f>+C10*D10</f>
        <v>268241.51000000024</v>
      </c>
      <c r="F10" s="3"/>
      <c r="G10" s="133" t="s">
        <v>660</v>
      </c>
      <c r="H10" s="577">
        <f t="shared" ref="H10:I10" si="13">+H5</f>
        <v>79</v>
      </c>
      <c r="I10" s="561">
        <f t="shared" si="13"/>
        <v>1686.9216455696203</v>
      </c>
      <c r="J10" s="566">
        <f>+H10*I10</f>
        <v>133266.81</v>
      </c>
      <c r="K10" s="3"/>
      <c r="L10" s="133" t="s">
        <v>661</v>
      </c>
      <c r="M10" s="561">
        <f t="shared" ref="M10:N10" si="14">+M5</f>
        <v>337642.8</v>
      </c>
      <c r="N10" s="562">
        <f t="shared" si="14"/>
        <v>0.71467000036725203</v>
      </c>
      <c r="O10" s="566">
        <f>+M10*N10</f>
        <v>241303.18</v>
      </c>
      <c r="P10" s="3"/>
      <c r="Q10" s="133" t="s">
        <v>662</v>
      </c>
      <c r="R10" s="578">
        <f t="shared" ref="R10:S10" si="15">+R5</f>
        <v>862</v>
      </c>
      <c r="S10" s="561">
        <f t="shared" si="15"/>
        <v>355.100939675174</v>
      </c>
      <c r="T10" s="566">
        <f>+R10*S10</f>
        <v>306097.01</v>
      </c>
      <c r="U10" s="3"/>
      <c r="V10" s="3"/>
      <c r="W10" s="3"/>
      <c r="X10" s="3"/>
      <c r="Y10" s="3"/>
      <c r="Z10" s="3"/>
    </row>
    <row r="11" spans="1:26">
      <c r="A11" s="3"/>
      <c r="B11" s="133" t="s">
        <v>663</v>
      </c>
      <c r="C11" s="577">
        <f>+C5</f>
        <v>81</v>
      </c>
      <c r="D11" s="566" t="e">
        <f>+D6</f>
        <v>#DIV/0!</v>
      </c>
      <c r="E11" s="566" t="e">
        <f>C11*D11</f>
        <v>#DIV/0!</v>
      </c>
      <c r="F11" s="3"/>
      <c r="G11" s="133" t="s">
        <v>663</v>
      </c>
      <c r="H11" s="577">
        <f>+H5</f>
        <v>79</v>
      </c>
      <c r="I11" s="566" t="e">
        <f>+I6</f>
        <v>#DIV/0!</v>
      </c>
      <c r="J11" s="566" t="e">
        <f>H11*I11</f>
        <v>#DIV/0!</v>
      </c>
      <c r="K11" s="3"/>
      <c r="L11" s="133" t="s">
        <v>663</v>
      </c>
      <c r="M11" s="561">
        <f>+M5</f>
        <v>337642.8</v>
      </c>
      <c r="N11" s="567" t="e">
        <f>+N6</f>
        <v>#DIV/0!</v>
      </c>
      <c r="O11" s="566" t="e">
        <f>M11*N11</f>
        <v>#DIV/0!</v>
      </c>
      <c r="P11" s="3"/>
      <c r="Q11" s="133" t="s">
        <v>664</v>
      </c>
      <c r="R11" s="578">
        <f>+R5</f>
        <v>862</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81</v>
      </c>
      <c r="D15" s="566" t="e">
        <f>+D6</f>
        <v>#DIV/0!</v>
      </c>
      <c r="E15" s="566" t="e">
        <f>+C15*D15</f>
        <v>#DIV/0!</v>
      </c>
      <c r="F15" s="3"/>
      <c r="G15" s="133" t="s">
        <v>667</v>
      </c>
      <c r="H15" s="577">
        <f t="shared" ref="H15:H16" si="21">+H5</f>
        <v>79</v>
      </c>
      <c r="I15" s="566" t="e">
        <f>+I6</f>
        <v>#DIV/0!</v>
      </c>
      <c r="J15" s="566" t="e">
        <f>+H15*I15</f>
        <v>#DIV/0!</v>
      </c>
      <c r="K15" s="3"/>
      <c r="L15" s="133" t="s">
        <v>668</v>
      </c>
      <c r="M15" s="561">
        <f t="shared" ref="M15:M16" si="22">+M5</f>
        <v>337642.8</v>
      </c>
      <c r="N15" s="567" t="e">
        <f>+N6</f>
        <v>#DIV/0!</v>
      </c>
      <c r="O15" s="566" t="e">
        <f>+M15*N15</f>
        <v>#DIV/0!</v>
      </c>
      <c r="P15" s="3"/>
      <c r="Q15" s="133" t="s">
        <v>669</v>
      </c>
      <c r="R15" s="578">
        <f t="shared" ref="R15:R16" si="23">+R5</f>
        <v>862</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81</v>
      </c>
      <c r="D17" s="570" t="e">
        <f t="shared" si="24"/>
        <v>#DIV/0!</v>
      </c>
      <c r="E17" s="571" t="e">
        <f t="shared" si="24"/>
        <v>#DIV/0!</v>
      </c>
      <c r="F17" s="3"/>
      <c r="G17" s="133" t="s">
        <v>665</v>
      </c>
      <c r="H17" s="569">
        <f t="shared" ref="H17:J17" si="25">+H15-H16</f>
        <v>79</v>
      </c>
      <c r="I17" s="570" t="e">
        <f t="shared" si="25"/>
        <v>#DIV/0!</v>
      </c>
      <c r="J17" s="571" t="e">
        <f t="shared" si="25"/>
        <v>#DIV/0!</v>
      </c>
      <c r="K17" s="3"/>
      <c r="L17" s="133" t="s">
        <v>665</v>
      </c>
      <c r="M17" s="570">
        <f t="shared" ref="M17:O17" si="26">+M15-M16</f>
        <v>337642.8</v>
      </c>
      <c r="N17" s="572" t="e">
        <f t="shared" si="26"/>
        <v>#DIV/0!</v>
      </c>
      <c r="O17" s="571" t="e">
        <f t="shared" si="26"/>
        <v>#DIV/0!</v>
      </c>
      <c r="P17" s="3"/>
      <c r="Q17" s="133" t="s">
        <v>665</v>
      </c>
      <c r="R17" s="573">
        <f t="shared" ref="R17:T17" si="27">+R15-R16</f>
        <v>862</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81</v>
      </c>
      <c r="D20" s="566" t="e">
        <f t="shared" si="28"/>
        <v>#DIV/0!</v>
      </c>
      <c r="E20" s="566" t="e">
        <f>+C20*D20</f>
        <v>#DIV/0!</v>
      </c>
      <c r="F20" s="3"/>
      <c r="G20" s="133" t="s">
        <v>672</v>
      </c>
      <c r="H20" s="579">
        <f t="shared" ref="H20:I20" si="29">MAX(H5:H6)</f>
        <v>79</v>
      </c>
      <c r="I20" s="566" t="e">
        <f t="shared" si="29"/>
        <v>#DIV/0!</v>
      </c>
      <c r="J20" s="566" t="e">
        <f>+H20*I20</f>
        <v>#DIV/0!</v>
      </c>
      <c r="K20" s="3"/>
      <c r="L20" s="133" t="s">
        <v>672</v>
      </c>
      <c r="M20" s="566">
        <f t="shared" ref="M20:N20" si="30">MAX(M5:M6)</f>
        <v>337642.8</v>
      </c>
      <c r="N20" s="567" t="e">
        <f t="shared" si="30"/>
        <v>#DIV/0!</v>
      </c>
      <c r="O20" s="566" t="e">
        <f>+M20*N20</f>
        <v>#DIV/0!</v>
      </c>
      <c r="P20" s="3"/>
      <c r="Q20" s="133" t="s">
        <v>672</v>
      </c>
      <c r="R20" s="580">
        <f t="shared" ref="R20:S20" si="31">MAX(R5:R6)</f>
        <v>862</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81</v>
      </c>
      <c r="D23" s="570" t="e">
        <f t="shared" si="36"/>
        <v>#DIV/0!</v>
      </c>
      <c r="E23" s="570" t="e">
        <f t="shared" si="36"/>
        <v>#DIV/0!</v>
      </c>
      <c r="F23" s="3"/>
      <c r="G23" s="133" t="s">
        <v>674</v>
      </c>
      <c r="H23" s="569">
        <f t="shared" ref="H23:J23" si="37">+H20-H22</f>
        <v>79</v>
      </c>
      <c r="I23" s="570" t="e">
        <f t="shared" si="37"/>
        <v>#DIV/0!</v>
      </c>
      <c r="J23" s="570" t="e">
        <f t="shared" si="37"/>
        <v>#DIV/0!</v>
      </c>
      <c r="K23" s="3"/>
      <c r="L23" s="133" t="s">
        <v>674</v>
      </c>
      <c r="M23" s="570">
        <f t="shared" ref="M23:O23" si="38">+M20-M22</f>
        <v>337642.8</v>
      </c>
      <c r="N23" s="572" t="e">
        <f t="shared" si="38"/>
        <v>#DIV/0!</v>
      </c>
      <c r="O23" s="570" t="e">
        <f t="shared" si="38"/>
        <v>#DIV/0!</v>
      </c>
      <c r="P23" s="3"/>
      <c r="Q23" s="133" t="s">
        <v>674</v>
      </c>
      <c r="R23" s="573">
        <f t="shared" ref="R23:T23" si="39">+R20-R22</f>
        <v>862</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81</v>
      </c>
      <c r="D32" s="566">
        <f t="shared" ref="D32:D33" si="40">+E32/C32</f>
        <v>-132.30362516556119</v>
      </c>
      <c r="E32" s="566">
        <f>+Print_Mois!N78</f>
        <v>-10716.593638410457</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81</v>
      </c>
      <c r="D33" s="566">
        <f t="shared" si="40"/>
        <v>62.251234567901307</v>
      </c>
      <c r="E33" s="566">
        <f>+Print_Mois!N82</f>
        <v>5042.3500000000058</v>
      </c>
      <c r="F33" s="3"/>
      <c r="G33" s="133" t="s">
        <v>681</v>
      </c>
      <c r="H33" s="588">
        <f>+H17</f>
        <v>79</v>
      </c>
      <c r="I33" s="566">
        <f>+J33/H33</f>
        <v>-4.8569620253164416</v>
      </c>
      <c r="J33" s="566">
        <f>+Print_Mois!N159</f>
        <v>-383.69999999999891</v>
      </c>
      <c r="K33" s="3"/>
      <c r="L33" s="3"/>
      <c r="M33" s="3"/>
      <c r="N33" s="3"/>
      <c r="O33" s="3"/>
      <c r="P33" s="3"/>
      <c r="Q33" s="3"/>
      <c r="R33" s="3"/>
      <c r="S33" s="3"/>
      <c r="T33" s="3"/>
      <c r="U33" s="3"/>
      <c r="V33" s="3"/>
      <c r="W33" s="3"/>
      <c r="X33" s="3"/>
      <c r="Y33" s="3"/>
      <c r="Z33" s="3"/>
    </row>
    <row r="34" spans="1:26" ht="15.75" customHeight="1">
      <c r="A34" s="3"/>
      <c r="B34" s="3"/>
      <c r="C34" s="3"/>
      <c r="D34" s="3"/>
      <c r="E34" s="570">
        <f>SUM(E32:E33)</f>
        <v>-5674.2436384104512</v>
      </c>
      <c r="F34" s="3"/>
      <c r="G34" s="3"/>
      <c r="H34" s="3"/>
      <c r="I34" s="3"/>
      <c r="J34" s="570">
        <f>SUM(J32:J33)</f>
        <v>-383.69999999999891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scale="58" fitToHeight="0" orientation="landscape" r:id="rId1"/>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BJ699"/>
  <sheetViews>
    <sheetView topLeftCell="C115" zoomScale="80" zoomScaleNormal="80" workbookViewId="0">
      <selection activeCell="L165" sqref="L165"/>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Juillet 2025</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5" t="s">
        <v>343</v>
      </c>
      <c r="E3" s="1226"/>
      <c r="F3" s="1227"/>
      <c r="G3" s="1230"/>
      <c r="H3" s="1226"/>
      <c r="I3" s="1227"/>
      <c r="J3" s="1230" t="s">
        <v>344</v>
      </c>
      <c r="K3" s="1226"/>
      <c r="L3" s="1227"/>
      <c r="M3" s="1230" t="s">
        <v>3310</v>
      </c>
      <c r="N3" s="1227"/>
      <c r="O3" s="1225" t="s">
        <v>345</v>
      </c>
      <c r="P3" s="1226"/>
      <c r="Q3" s="1227"/>
      <c r="R3" s="1228" t="s">
        <v>3312</v>
      </c>
      <c r="S3" s="1229"/>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3318</v>
      </c>
      <c r="K4" s="243" t="s">
        <v>94</v>
      </c>
      <c r="L4" s="244" t="s">
        <v>95</v>
      </c>
      <c r="M4" s="245" t="s">
        <v>3318</v>
      </c>
      <c r="N4" s="244" t="s">
        <v>95</v>
      </c>
      <c r="O4" s="243" t="s">
        <v>93</v>
      </c>
      <c r="P4" s="243" t="s">
        <v>348</v>
      </c>
      <c r="Q4" s="244" t="s">
        <v>95</v>
      </c>
      <c r="R4" s="245" t="s">
        <v>3318</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22688588.97289912</v>
      </c>
      <c r="G5" s="246"/>
      <c r="H5" s="247"/>
      <c r="I5" s="249"/>
      <c r="J5" s="246"/>
      <c r="K5" s="250"/>
      <c r="L5" s="248">
        <f>-SUMIFS(BV_Data_An_Cour!$P:$P,BV_Data_An_Cour!$X:$X,"Oui",BV_Data_An_Cour!$U:$U,$B5)</f>
        <v>20245370.539999995</v>
      </c>
      <c r="M5" s="251"/>
      <c r="N5" s="252"/>
      <c r="O5" s="246"/>
      <c r="P5" s="250"/>
      <c r="Q5" s="248" cm="1">
        <f t="array" ref="Q5">+SUMPRODUCT(('Réel 2024'!$A$8:$A$501=$A5)*('Réel 2024'!$C$3:$AO$3=Q$2),'Réel 2024'!$C$8:$AO$501)</f>
        <v>24392210.329999987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111</v>
      </c>
      <c r="E6" s="254">
        <f t="shared" ref="E6:E12" si="2">IF(D6=0,0,F6/D6)</f>
        <v>1953.6491683802797</v>
      </c>
      <c r="F6" s="254" cm="1">
        <f t="array" ref="F6">+SUMPRODUCT(('Budget original'!$A$8:$A$501=$A6)*('Budget original'!$C$3:$AO$3=F$2),'Budget original'!$C$8:$AO$501)</f>
        <v>216855.05769021105</v>
      </c>
      <c r="G6" s="255"/>
      <c r="H6" s="254"/>
      <c r="I6" s="254"/>
      <c r="J6" s="255">
        <f>-SUMIFS(BV_Data_An_Cour!$P:$P,BV_Data_An_Cour!$U:$U,$B6,BV_Data_An_Cour!$V:$V,$C6,BV_Data_An_Cour!$W:$W,J$2)</f>
        <v>82</v>
      </c>
      <c r="K6" s="254">
        <f t="shared" ref="K6:K12" si="3">IF(J6=0,0,L6/J6)</f>
        <v>1995.6156097561002</v>
      </c>
      <c r="L6" s="256">
        <f>-SUMIFS(BV_Data_An_Cour!$P:$P,BV_Data_An_Cour!$U:$U,$B6,BV_Data_An_Cour!$V:$V,$C6,BV_Data_An_Cour!$W:$W,L$2)</f>
        <v>163640.48000000021</v>
      </c>
      <c r="M6" s="255">
        <f t="shared" ref="M6:M12" si="4">J6-D6</f>
        <v>-29</v>
      </c>
      <c r="N6" s="256">
        <f t="shared" ref="N6:N12" si="5">L6-F6</f>
        <v>-53214.577690210834</v>
      </c>
      <c r="O6" s="255" cm="1">
        <f t="array" ref="O6">+SUMPRODUCT(('Réel 2024'!$A$8:$A$501=$A6)*('Réel 2024'!$C$3:$AO$3=O$2),'Réel 2024'!$C$8:$AO$501)</f>
        <v>122</v>
      </c>
      <c r="P6" s="254">
        <f t="shared" ref="P6:P12" si="6">IF(O6=0,0,Q6/O6)</f>
        <v>2053.3375409836017</v>
      </c>
      <c r="Q6" s="256" cm="1">
        <f t="array" ref="Q6">+SUMPRODUCT(('Réel 2024'!$A$8:$A$501=$A6)*('Réel 2024'!$C$3:$AO$3=Q$2),'Réel 2024'!$C$8:$AO$501)</f>
        <v>250507.17999999941</v>
      </c>
      <c r="R6" s="255">
        <f t="shared" ref="R6:R12" si="7">J6-O6</f>
        <v>-40</v>
      </c>
      <c r="S6" s="256">
        <f t="shared" ref="S6:S12" si="8">L6-Q6</f>
        <v>-86866.699999999197</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301</v>
      </c>
      <c r="E7" s="254">
        <f t="shared" si="2"/>
        <v>2435.9046775963698</v>
      </c>
      <c r="F7" s="254" cm="1">
        <f t="array" ref="F7">+SUMPRODUCT(('Budget original'!$A$8:$A$501=$A7)*('Budget original'!$C$3:$AO$3=F$2),'Budget original'!$C$8:$AO$501)</f>
        <v>733207.30795650731</v>
      </c>
      <c r="G7" s="255"/>
      <c r="H7" s="254"/>
      <c r="I7" s="254"/>
      <c r="J7" s="255">
        <f>-SUMIFS(BV_Data_An_Cour!$P:$P,BV_Data_An_Cour!$U:$U,$B7,BV_Data_An_Cour!$V:$V,$C7,BV_Data_An_Cour!$W:$W,J$2)</f>
        <v>272</v>
      </c>
      <c r="K7" s="254">
        <f t="shared" si="3"/>
        <v>2322.3341911764669</v>
      </c>
      <c r="L7" s="256">
        <f>-SUMIFS(BV_Data_An_Cour!$P:$P,BV_Data_An_Cour!$U:$U,$B7,BV_Data_An_Cour!$V:$V,$C7,BV_Data_An_Cour!$W:$W,L$2)</f>
        <v>631674.89999999898</v>
      </c>
      <c r="M7" s="255">
        <f t="shared" si="4"/>
        <v>-29</v>
      </c>
      <c r="N7" s="256">
        <f t="shared" si="5"/>
        <v>-101532.40795650834</v>
      </c>
      <c r="O7" s="255" cm="1">
        <f t="array" ref="O7">+SUMPRODUCT(('Réel 2024'!$A$8:$A$501=$A7)*('Réel 2024'!$C$3:$AO$3=O$2),'Réel 2024'!$C$8:$AO$501)</f>
        <v>318</v>
      </c>
      <c r="P7" s="254">
        <f t="shared" si="6"/>
        <v>2552.2234276729487</v>
      </c>
      <c r="Q7" s="256" cm="1">
        <f t="array" ref="Q7">+SUMPRODUCT(('Réel 2024'!$A$8:$A$501=$A7)*('Réel 2024'!$C$3:$AO$3=Q$2),'Réel 2024'!$C$8:$AO$501)</f>
        <v>811607.04999999772</v>
      </c>
      <c r="R7" s="255">
        <f t="shared" si="7"/>
        <v>-46</v>
      </c>
      <c r="S7" s="256">
        <f t="shared" si="8"/>
        <v>-179932.14999999874</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2024'!$A$8:$A$501=$A8)*('Réel 2024'!$C$3:$AO$3=O$2),'Réel 2024'!$C$8:$AO$501)</f>
        <v>0</v>
      </c>
      <c r="P8" s="254">
        <f t="shared" si="6"/>
        <v>0</v>
      </c>
      <c r="Q8" s="256" cm="1">
        <f t="array" ref="Q8">+SUMPRODUCT(('Réel 2024'!$A$8:$A$501=$A8)*('Réel 2024'!$C$3:$AO$3=Q$2),'Réel 2024'!$C$8:$AO$501)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2024'!$A$8:$A$501=$A9)*('Réel 2024'!$C$3:$AO$3=O$2),'Réel 2024'!$C$8:$AO$501)</f>
        <v>0</v>
      </c>
      <c r="P9" s="254">
        <f t="shared" si="6"/>
        <v>0</v>
      </c>
      <c r="Q9" s="256" cm="1">
        <f t="array" ref="Q9">+SUMPRODUCT(('Réel 2024'!$A$8:$A$501=$A9)*('Réel 2024'!$C$3:$AO$3=Q$2),'Réel 2024'!$C$8:$AO$501)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2024'!$A$8:$A$501=$A10)*('Réel 2024'!$C$3:$AO$3=O$2),'Réel 2024'!$C$8:$AO$501)</f>
        <v>0</v>
      </c>
      <c r="P10" s="254">
        <f t="shared" si="6"/>
        <v>0</v>
      </c>
      <c r="Q10" s="256" cm="1">
        <f t="array" ref="Q10">+SUMPRODUCT(('Réel 2024'!$A$8:$A$501=$A10)*('Réel 2024'!$C$3:$AO$3=Q$2),'Réel 2024'!$C$8:$AO$501)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2024'!$A$8:$A$501=$A11)*('Réel 2024'!$C$3:$AO$3=O$2),'Réel 2024'!$C$8:$AO$501)</f>
        <v>0</v>
      </c>
      <c r="P11" s="254">
        <f t="shared" si="6"/>
        <v>0</v>
      </c>
      <c r="Q11" s="256" cm="1">
        <f t="array" ref="Q11">+SUMPRODUCT(('Réel 2024'!$A$8:$A$501=$A11)*('Réel 2024'!$C$3:$AO$3=Q$2),'Réel 2024'!$C$8:$AO$501)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2024'!$A$8:$A$501=$A12)*('Réel 2024'!$C$3:$AO$3=O$2),'Réel 2024'!$C$8:$AO$501)</f>
        <v>0</v>
      </c>
      <c r="P12" s="254">
        <f t="shared" si="6"/>
        <v>0</v>
      </c>
      <c r="Q12" s="256" cm="1">
        <f t="array" ref="Q12">+SUMPRODUCT(('Réel 2024'!$A$8:$A$501=$A12)*('Réel 2024'!$C$3:$AO$3=Q$2),'Réel 2024'!$C$8:$AO$501)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412</v>
      </c>
      <c r="E13" s="260">
        <f>IF(D13&lt;=0,0,F13/D13)</f>
        <v>2305.9766156473747</v>
      </c>
      <c r="F13" s="261">
        <f t="shared" ref="F13" si="9">+SUM(F6:F12)</f>
        <v>950062.3656467183</v>
      </c>
      <c r="G13" s="262"/>
      <c r="H13" s="260"/>
      <c r="I13" s="261"/>
      <c r="J13" s="262">
        <f t="shared" ref="J13" si="10">+SUM(J6:J12)</f>
        <v>354</v>
      </c>
      <c r="K13" s="260">
        <f>IF(J13&lt;=0,0,L13/J13)</f>
        <v>2246.6536158192066</v>
      </c>
      <c r="L13" s="261">
        <f t="shared" ref="L13" si="11">+SUM(L6:L12)</f>
        <v>795315.37999999919</v>
      </c>
      <c r="M13" s="262">
        <f>+SUM(M6:M12)</f>
        <v>-58</v>
      </c>
      <c r="N13" s="261">
        <f t="shared" ref="N13" si="12">+SUM(N6:N12)</f>
        <v>-154746.98564671917</v>
      </c>
      <c r="O13" s="262">
        <f>+SUM(O6:O12)</f>
        <v>440</v>
      </c>
      <c r="P13" s="260">
        <f>IF(O13&lt;=0,0,Q13/O13)</f>
        <v>2413.8959772727208</v>
      </c>
      <c r="Q13" s="261">
        <f t="shared" ref="Q13" si="13">+SUM(Q6:Q12)</f>
        <v>1062114.2299999972</v>
      </c>
      <c r="R13" s="262">
        <f t="shared" ref="R13:S13" si="14">+SUM(R6:R12)</f>
        <v>-86</v>
      </c>
      <c r="S13" s="261">
        <f t="shared" si="14"/>
        <v>-266798.84999999794</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-0.14077669902912621</v>
      </c>
      <c r="N14" s="265">
        <f>IF(F13=0,0,N13/F13)</f>
        <v>-0.16288087102722054</v>
      </c>
      <c r="O14" s="253"/>
      <c r="P14" s="254"/>
      <c r="Q14" s="263"/>
      <c r="R14" s="264">
        <f>R13/O13</f>
        <v>-0.19545454545454546</v>
      </c>
      <c r="S14" s="265">
        <f>IF(Q13=0,0,(S13/Q13))</f>
        <v>-0.251196003653956</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22</v>
      </c>
      <c r="E15" s="250">
        <f>IF(D15=0,0,F15/D15)</f>
        <v>1534.7521433415677</v>
      </c>
      <c r="F15" s="248" cm="1">
        <f t="array" ref="F15">+SUMPRODUCT(('Budget original'!$A$8:$A$501=$A15)*('Budget original'!$C$3:$AO$3=F$2),'Budget original'!$C$8:$AO$501)</f>
        <v>33764.54715351449</v>
      </c>
      <c r="G15" s="267"/>
      <c r="H15" s="250"/>
      <c r="I15" s="248"/>
      <c r="J15" s="268">
        <f>-SUMIFS(BV_Data_An_Cour!$P:$P,BV_Data_An_Cour!$U:$U,$B15,BV_Data_An_Cour!$V:$V,$C15,BV_Data_An_Cour!$W:$W,J$2)</f>
        <v>26</v>
      </c>
      <c r="K15" s="269">
        <f>IF(J15=0,0,L15/J15)</f>
        <v>1352.6173076923094</v>
      </c>
      <c r="L15" s="269">
        <f>-SUMIFS(BV_Data_An_Cour!$P:$P,BV_Data_An_Cour!$U:$U,$B15,BV_Data_An_Cour!$V:$V,$C15,BV_Data_An_Cour!$W:$W,L$2)</f>
        <v>35168.050000000047</v>
      </c>
      <c r="M15" s="267">
        <f>J15-D15</f>
        <v>4</v>
      </c>
      <c r="N15" s="248">
        <f>L15-F15</f>
        <v>1403.5028464855568</v>
      </c>
      <c r="O15" s="268" cm="1">
        <f t="array" ref="O15">+SUMPRODUCT(('Réel 2024'!$A$8:$A$501=$A15)*('Réel 2024'!$C$3:$AO$3=O$2),'Réel 2024'!$C$8:$AO$501)</f>
        <v>20</v>
      </c>
      <c r="P15" s="269">
        <f>IF(O15=0,0,Q15/O15)</f>
        <v>1461.0929999999989</v>
      </c>
      <c r="Q15" s="269" cm="1">
        <f t="array" ref="Q15">+SUMPRODUCT(('Réel 2024'!$A$8:$A$501=$A15)*('Réel 2024'!$C$3:$AO$3=Q$2),'Réel 2024'!$C$8:$AO$501)</f>
        <v>29221.859999999979</v>
      </c>
      <c r="R15" s="267">
        <f>J15-O15</f>
        <v>6</v>
      </c>
      <c r="S15" s="248">
        <f>L15-Q15</f>
        <v>5946.1900000000678</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11</v>
      </c>
      <c r="E17" s="254">
        <f>IF(D17=0,0,F17/D17)</f>
        <v>2393.8521192147823</v>
      </c>
      <c r="F17" s="254" cm="1">
        <f t="array" ref="F17">+SUMPRODUCT(('Budget original'!$A$8:$A$501=$A17)*('Budget original'!$C$3:$AO$3=F$2),'Budget original'!$C$8:$AO$501)</f>
        <v>26332.373311362608</v>
      </c>
      <c r="G17" s="255"/>
      <c r="H17" s="254"/>
      <c r="I17" s="254"/>
      <c r="J17" s="267">
        <f>-SUMIFS(BV_Data_An_Cour!$P:$P,BV_Data_An_Cour!$U:$U,$B17,BV_Data_An_Cour!$V:$V,$C17,BV_Data_An_Cour!$W:$W,J$2)</f>
        <v>12</v>
      </c>
      <c r="K17" s="254">
        <f>IF(J17=0,0,L17/J17)</f>
        <v>2463.2191666666672</v>
      </c>
      <c r="L17" s="256">
        <f>-SUMIFS(BV_Data_An_Cour!$P:$P,BV_Data_An_Cour!$U:$U,$B17,BV_Data_An_Cour!$V:$V,$C17,BV_Data_An_Cour!$W:$W,L$2)</f>
        <v>29558.630000000005</v>
      </c>
      <c r="M17" s="267">
        <f>J17-D17</f>
        <v>1</v>
      </c>
      <c r="N17" s="256">
        <f>L17-F17</f>
        <v>3226.256688637397</v>
      </c>
      <c r="O17" s="267" cm="1">
        <f t="array" ref="O17">+SUMPRODUCT(('Réel 2024'!$A$8:$A$501=$A17)*('Réel 2024'!$C$3:$AO$3=O$2),'Réel 2024'!$C$8:$AO$501)</f>
        <v>7</v>
      </c>
      <c r="P17" s="254">
        <f>IF(O17=0,0,Q17/O17)</f>
        <v>2321.3057142857128</v>
      </c>
      <c r="Q17" s="256" cm="1">
        <f t="array" ref="Q17">+SUMPRODUCT(('Réel 2024'!$A$8:$A$501=$A17)*('Réel 2024'!$C$3:$AO$3=Q$2),'Réel 2024'!$C$8:$AO$501)</f>
        <v>16249.13999999999</v>
      </c>
      <c r="R17" s="255">
        <f>J17-O17</f>
        <v>5</v>
      </c>
      <c r="S17" s="256">
        <f>L17-Q17</f>
        <v>13309.490000000014</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2075926.7399999998</v>
      </c>
      <c r="Y18" s="459">
        <f t="shared" ref="Y18:Y19" si="15">+X18-W18</f>
        <v>2075926.7399999998</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45900</v>
      </c>
      <c r="G19" s="255"/>
      <c r="H19" s="254"/>
      <c r="I19" s="254"/>
      <c r="J19" s="267"/>
      <c r="K19" s="254"/>
      <c r="L19" s="256">
        <f>-SUMIFS(BV_Data_An_Cour!$P:$P,BV_Data_An_Cour!$U:$U,$B19,BV_Data_An_Cour!$V:$V,$C19,BV_Data_An_Cour!$W:$W,L$2)</f>
        <v>61119.410000000149</v>
      </c>
      <c r="M19" s="255"/>
      <c r="N19" s="256">
        <f>L19-F19</f>
        <v>15219.410000000149</v>
      </c>
      <c r="O19" s="267" cm="1">
        <f t="array" ref="O19">+SUMPRODUCT(('Réel 2024'!$A$8:$A$501=$A19)*('Réel 2024'!$C$3:$AO$3=O$2),'Réel 2024'!$C$8:$AO$501)</f>
        <v>0</v>
      </c>
      <c r="P19" s="254">
        <f>IF(O19=0,0,Q19/O19)</f>
        <v>0</v>
      </c>
      <c r="Q19" s="256" cm="1">
        <f t="array" ref="Q19">+SUMPRODUCT(('Réel 2024'!$A$8:$A$501=$A19)*('Réel 2024'!$C$3:$AO$3=Q$2),'Réel 2024'!$C$8:$AO$501)</f>
        <v>48560.369999999988</v>
      </c>
      <c r="R19" s="255">
        <f>O19-K19</f>
        <v>0</v>
      </c>
      <c r="S19" s="256">
        <f>L19-Q19</f>
        <v>12559.040000000161</v>
      </c>
      <c r="T19" s="41"/>
      <c r="U19" s="41"/>
      <c r="V19" s="41" t="s">
        <v>693</v>
      </c>
      <c r="W19" s="459">
        <f>+I194+I250+I314</f>
        <v>0</v>
      </c>
      <c r="X19" s="459">
        <f>+L194+L250+L314</f>
        <v>2463433.0300000003</v>
      </c>
      <c r="Y19" s="459">
        <f t="shared" si="15"/>
        <v>2463433.0300000003</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21700</v>
      </c>
      <c r="G21" s="253"/>
      <c r="H21" s="254"/>
      <c r="I21" s="254"/>
      <c r="J21" s="255"/>
      <c r="K21" s="254">
        <f>IF(J13=0,0,L21/(J13+J15))</f>
        <v>6.6689210526315792</v>
      </c>
      <c r="L21" s="256">
        <f>-SUMIFS(BV_Data_An_Cour!$P:$P,BV_Data_An_Cour!$U:$U,$B21,BV_Data_An_Cour!$V:$V,$C21,BV_Data_An_Cour!$W:$W,L$2)</f>
        <v>2534.19</v>
      </c>
      <c r="M21" s="255"/>
      <c r="N21" s="256">
        <f>L21-F21</f>
        <v>-19165.810000000001</v>
      </c>
      <c r="O21" s="255"/>
      <c r="P21" s="254"/>
      <c r="Q21" s="256" cm="1">
        <f t="array" ref="Q21">+SUMPRODUCT(('Réel 2024'!$A$8:$A$501=$A21)*('Réel 2024'!$C$3:$AO$3=Q$2),'Réel 2024'!$C$8:$AO$501)</f>
        <v>9528.1200000000008</v>
      </c>
      <c r="R21" s="255">
        <f t="shared" ref="R21:R23" si="16">O21-K21</f>
        <v>-6.6689210526315792</v>
      </c>
      <c r="S21" s="256">
        <f t="shared" ref="S21:S24" si="17">L21-Q21</f>
        <v>-6993.93</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403620</v>
      </c>
      <c r="G22" s="253"/>
      <c r="H22" s="254"/>
      <c r="I22" s="254"/>
      <c r="J22" s="255"/>
      <c r="K22" s="254">
        <f>IF(J13=0,0,L22/(J13+J15))</f>
        <v>968.14263157894743</v>
      </c>
      <c r="L22" s="256">
        <f>-SUMIFS(BV_Data_An_Cour!$P:$P,BV_Data_An_Cour!$U:$U,$B22,BV_Data_An_Cour!$V:$V,$C22,BV_Data_An_Cour!$W:$W,L$2)</f>
        <v>367894.2</v>
      </c>
      <c r="M22" s="255"/>
      <c r="N22" s="256">
        <f>L22-F22</f>
        <v>-35725.799999999988</v>
      </c>
      <c r="O22" s="255"/>
      <c r="P22" s="254"/>
      <c r="Q22" s="256" cm="1">
        <f t="array" ref="Q22">+SUMPRODUCT(('Réel 2024'!$A$8:$A$501=$A22)*('Réel 2024'!$C$3:$AO$3=Q$2),'Réel 2024'!$C$8:$AO$501)</f>
        <v>381302.9</v>
      </c>
      <c r="R22" s="255">
        <f t="shared" si="16"/>
        <v>-968.14263157894743</v>
      </c>
      <c r="S22" s="256">
        <f t="shared" si="17"/>
        <v>-13408.700000000012</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8680</v>
      </c>
      <c r="G23" s="253"/>
      <c r="H23" s="254"/>
      <c r="I23" s="254"/>
      <c r="J23" s="255"/>
      <c r="K23" s="254">
        <f>IF(J13=0,0,L23/(J13+J15))</f>
        <v>3.1925789473684212</v>
      </c>
      <c r="L23" s="256">
        <f>-SUMIFS(BV_Data_An_Cour!$P:$P,BV_Data_An_Cour!$U:$U,$B23,BV_Data_An_Cour!$V:$V,$C23,BV_Data_An_Cour!$W:$W,L$2)</f>
        <v>1213.18</v>
      </c>
      <c r="M23" s="267"/>
      <c r="N23" s="256">
        <f>L23-F23</f>
        <v>-7466.82</v>
      </c>
      <c r="O23" s="255"/>
      <c r="P23" s="254"/>
      <c r="Q23" s="256" cm="1">
        <f t="array" ref="Q23">+SUMPRODUCT(('Réel 2024'!$A$8:$A$501=$A23)*('Réel 2024'!$C$3:$AO$3=Q$2),'Réel 2024'!$C$8:$AO$501)</f>
        <v>4627.05</v>
      </c>
      <c r="R23" s="255">
        <f t="shared" si="16"/>
        <v>-3.1925789473684212</v>
      </c>
      <c r="S23" s="256">
        <f t="shared" si="17"/>
        <v>-3413.87</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434</v>
      </c>
      <c r="E24" s="260">
        <f>IF(D24&lt;=0,0,F24/D24)</f>
        <v>1000</v>
      </c>
      <c r="F24" s="261">
        <f>F21+F22+F23</f>
        <v>434000</v>
      </c>
      <c r="G24" s="262"/>
      <c r="H24" s="260"/>
      <c r="I24" s="261"/>
      <c r="J24" s="262">
        <f>+J15+J13</f>
        <v>380</v>
      </c>
      <c r="K24" s="260">
        <f>IF(J24&lt;=0,0,L24/J24)</f>
        <v>978.00413157894741</v>
      </c>
      <c r="L24" s="261">
        <f>L21+L22+L23</f>
        <v>371641.57</v>
      </c>
      <c r="M24" s="275">
        <f>J24-D24</f>
        <v>-54</v>
      </c>
      <c r="N24" s="261">
        <f>L24-F24</f>
        <v>-62358.429999999993</v>
      </c>
      <c r="O24" s="262">
        <f>+O15+O13</f>
        <v>460</v>
      </c>
      <c r="P24" s="260">
        <f>IF(O24&lt;=0,0,Q24/O24)</f>
        <v>859.69145652173916</v>
      </c>
      <c r="Q24" s="261">
        <f>Q21+Q22+Q23</f>
        <v>395458.07</v>
      </c>
      <c r="R24" s="273"/>
      <c r="S24" s="261">
        <f t="shared" si="17"/>
        <v>-23816.5</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-0.14368301843317971</v>
      </c>
      <c r="O25" s="253"/>
      <c r="P25" s="41"/>
      <c r="Q25" s="276"/>
      <c r="R25" s="277"/>
      <c r="S25" s="265">
        <f>IF(Q24=0,0,(S24/Q24))</f>
        <v>-6.0225095419092094E-2</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445</v>
      </c>
      <c r="E27" s="280">
        <f>IF(D27&lt;=0,0,F27/D27)</f>
        <v>3348.4478339586412</v>
      </c>
      <c r="F27" s="281">
        <f>F13+F17+F24+F19+F15</f>
        <v>1490059.2861115953</v>
      </c>
      <c r="G27" s="282"/>
      <c r="H27" s="280"/>
      <c r="I27" s="281"/>
      <c r="J27" s="282">
        <f>+J13+J15+J17</f>
        <v>392</v>
      </c>
      <c r="K27" s="280">
        <f>IF(J27&lt;=0,0,L27/J27)</f>
        <v>3297.9669387755084</v>
      </c>
      <c r="L27" s="281">
        <f>L13+L17+L24+L19+L15</f>
        <v>1292803.0399999993</v>
      </c>
      <c r="M27" s="282">
        <f>J27-D27</f>
        <v>-53</v>
      </c>
      <c r="N27" s="281">
        <f>L27-F27</f>
        <v>-197256.246111596</v>
      </c>
      <c r="O27" s="282">
        <f>+O13+O15+O17</f>
        <v>467</v>
      </c>
      <c r="P27" s="280">
        <f>IF(O27&lt;=0,0,Q27/O27)</f>
        <v>3322.4917987151966</v>
      </c>
      <c r="Q27" s="281">
        <f>Q13+Q17+Q24+Q19+Q15</f>
        <v>1551603.6699999969</v>
      </c>
      <c r="R27" s="282">
        <f>J27-O27</f>
        <v>-75</v>
      </c>
      <c r="S27" s="281">
        <f>L27-Q27</f>
        <v>-258800.62999999756</v>
      </c>
      <c r="T27" s="41"/>
      <c r="U27" s="41">
        <f>+S27/R27</f>
        <v>3450.6750666666339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0.86761852501429737</v>
      </c>
      <c r="M28" s="286">
        <f>M27/D27</f>
        <v>-0.11910112359550562</v>
      </c>
      <c r="N28" s="287">
        <f>N27/F27</f>
        <v>-0.13238147498570257</v>
      </c>
      <c r="O28" s="283"/>
      <c r="P28" s="284"/>
      <c r="Q28" s="285"/>
      <c r="R28" s="286">
        <f>R27/O27</f>
        <v>-0.16059957173447537</v>
      </c>
      <c r="S28" s="287">
        <f>IF(Q27=0,0,S27/Q27)</f>
        <v>-0.16679557737833792</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754.57256983426214</v>
      </c>
      <c r="F31" s="254" cm="1">
        <f t="array" ref="F31">+SUMPRODUCT(('Budget original'!$A$8:$A$501=$A31)*('Budget original'!$C$3:$AO$3=F$2),'Budget original'!$C$8:$AO$501)</f>
        <v>327484.49530806975</v>
      </c>
      <c r="G31" s="298"/>
      <c r="H31" s="291"/>
      <c r="I31" s="254"/>
      <c r="J31" s="292">
        <f>L31/(L13+L15+L17)</f>
        <v>0.31368344938851045</v>
      </c>
      <c r="K31" s="291">
        <f t="shared" ref="K31:K40" si="19">IF(L31=0,0,L31/J$24)</f>
        <v>709.94989473684211</v>
      </c>
      <c r="L31" s="254">
        <f>SUMIFS(BV_Data_An_Cour!$P:$P,BV_Data_An_Cour!$U:$U,$B31,BV_Data_An_Cour!$V:$V,$C31,BV_Data_An_Cour!$W:$W,L$2)</f>
        <v>269780.96000000002</v>
      </c>
      <c r="M31" s="253"/>
      <c r="N31" s="276">
        <f t="shared" ref="N31:N53" si="20">L31-F31</f>
        <v>-57703.535308069724</v>
      </c>
      <c r="O31" s="253"/>
      <c r="P31" s="291">
        <f t="shared" ref="P31:P40" si="21">Q31/O$24</f>
        <v>675.12591304347825</v>
      </c>
      <c r="Q31" s="256" cm="1">
        <f t="array" ref="Q31">+SUMPRODUCT(('Réel 2024'!$A$8:$A$501=$A31)*('Réel 2024'!$C$3:$AO$3=Q$2),'Réel 2024'!$C$8:$AO$501)</f>
        <v>310557.92</v>
      </c>
      <c r="R31" s="253"/>
      <c r="S31" s="276">
        <f t="shared" ref="S31:S41" si="22">L31-Q31</f>
        <v>-40776.959999999963</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280</v>
      </c>
      <c r="F32" s="248" cm="1">
        <f t="array" ref="F32">+SUMPRODUCT(('Budget original'!$A$8:$A$501=$A32)*('Budget original'!$C$3:$AO$3=F$2),'Budget original'!$C$8:$AO$501)</f>
        <v>121520</v>
      </c>
      <c r="G32" s="300"/>
      <c r="H32" s="294"/>
      <c r="I32" s="248"/>
      <c r="J32" s="295">
        <f>L32/L24</f>
        <v>0.27077170080838914</v>
      </c>
      <c r="K32" s="294">
        <f t="shared" si="19"/>
        <v>264.81584210526319</v>
      </c>
      <c r="L32" s="248">
        <f>SUMIFS(BV_Data_An_Cour!$P:$P,BV_Data_An_Cour!$U:$U,$B32,BV_Data_An_Cour!$V:$V,$C32,BV_Data_An_Cour!$W:$W,L$2)</f>
        <v>100630.02</v>
      </c>
      <c r="M32" s="246"/>
      <c r="N32" s="296">
        <f t="shared" si="20"/>
        <v>-20889.979999999996</v>
      </c>
      <c r="O32" s="246"/>
      <c r="P32" s="294">
        <f t="shared" si="21"/>
        <v>231.31847826086957</v>
      </c>
      <c r="Q32" s="248" cm="1">
        <f t="array" ref="Q32">+SUMPRODUCT(('Réel 2024'!$A$8:$A$501=$A32)*('Réel 2024'!$C$3:$AO$3=Q$2),'Réel 2024'!$C$8:$AO$501)</f>
        <v>106406.5</v>
      </c>
      <c r="R32" s="246"/>
      <c r="S32" s="296">
        <f t="shared" si="22"/>
        <v>-5776.4799999999959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v>
      </c>
      <c r="F33" s="254" cm="1">
        <f t="array" ref="F33">+SUMPRODUCT(('Budget original'!$A$8:$A$501=$A33)*('Budget original'!$C$3:$AO$3=F$2),'Budget original'!$C$8:$AO$501)</f>
        <v>49910</v>
      </c>
      <c r="G33" s="298"/>
      <c r="H33" s="291"/>
      <c r="I33" s="254"/>
      <c r="J33" s="253"/>
      <c r="K33" s="291">
        <f t="shared" si="19"/>
        <v>109.00294736842106</v>
      </c>
      <c r="L33" s="254">
        <f>SUMIFS(BV_Data_An_Cour!$P:$P,BV_Data_An_Cour!$U:$U,$B33,BV_Data_An_Cour!$V:$V,$C33,BV_Data_An_Cour!$W:$W,L$2)</f>
        <v>41421.120000000003</v>
      </c>
      <c r="M33" s="253"/>
      <c r="N33" s="276">
        <f t="shared" si="20"/>
        <v>-8488.8799999999974</v>
      </c>
      <c r="O33" s="253"/>
      <c r="P33" s="291">
        <f t="shared" si="21"/>
        <v>114.41295652173915</v>
      </c>
      <c r="Q33" s="256" cm="1">
        <f t="array" ref="Q33">+SUMPRODUCT(('Réel 2024'!$A$8:$A$501=$A33)*('Réel 2024'!$C$3:$AO$3=Q$2),'Réel 2024'!$C$8:$AO$501)</f>
        <v>52629.960000000006</v>
      </c>
      <c r="R33" s="253"/>
      <c r="S33" s="276">
        <f t="shared" si="22"/>
        <v>-11208.840000000004</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10</v>
      </c>
      <c r="F34" s="254" cm="1">
        <f t="array" ref="F34">+SUMPRODUCT(('Budget original'!$A$8:$A$501=$A34)*('Budget original'!$C$3:$AO$3=F$2),'Budget original'!$C$8:$AO$501)</f>
        <v>4340</v>
      </c>
      <c r="G34" s="298"/>
      <c r="H34" s="291"/>
      <c r="I34" s="254"/>
      <c r="J34" s="253"/>
      <c r="K34" s="291">
        <f t="shared" si="19"/>
        <v>5.8877368421052632</v>
      </c>
      <c r="L34" s="254">
        <f>SUMIFS(BV_Data_An_Cour!$P:$P,BV_Data_An_Cour!$U:$U,$B34,BV_Data_An_Cour!$V:$V,$C34,BV_Data_An_Cour!$W:$W,L$2)</f>
        <v>2237.34</v>
      </c>
      <c r="M34" s="253"/>
      <c r="N34" s="276">
        <f t="shared" si="20"/>
        <v>-2102.66</v>
      </c>
      <c r="O34" s="253"/>
      <c r="P34" s="291">
        <f t="shared" si="21"/>
        <v>12.849847826086956</v>
      </c>
      <c r="Q34" s="256" cm="1">
        <f t="array" ref="Q34">+SUMPRODUCT(('Réel 2024'!$A$8:$A$501=$A34)*('Réel 2024'!$C$3:$AO$3=Q$2),'Réel 2024'!$C$8:$AO$501)</f>
        <v>5910.9299999999994</v>
      </c>
      <c r="R34" s="253"/>
      <c r="S34" s="276">
        <f t="shared" si="22"/>
        <v>-3673.5899999999992</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120.75</v>
      </c>
      <c r="F35" s="248" cm="1">
        <f t="array" ref="F35">+SUMPRODUCT(('Budget original'!$A$8:$A$501=$A35)*('Budget original'!$C$3:$AO$3=F$2),'Budget original'!$C$8:$AO$501)</f>
        <v>52405.5</v>
      </c>
      <c r="G35" s="300"/>
      <c r="H35" s="294"/>
      <c r="I35" s="248"/>
      <c r="J35" s="246"/>
      <c r="K35" s="294">
        <f t="shared" si="19"/>
        <v>130.80742105263158</v>
      </c>
      <c r="L35" s="248">
        <f>SUMIFS(BV_Data_An_Cour!$P:$P,BV_Data_An_Cour!$U:$U,$B35,BV_Data_An_Cour!$V:$V,$C35,BV_Data_An_Cour!$W:$W,L$2)</f>
        <v>49706.82</v>
      </c>
      <c r="M35" s="246"/>
      <c r="N35" s="296">
        <f t="shared" si="20"/>
        <v>-2698.6800000000003</v>
      </c>
      <c r="O35" s="246"/>
      <c r="P35" s="294">
        <f t="shared" si="21"/>
        <v>118.41232608695654</v>
      </c>
      <c r="Q35" s="256" cm="1">
        <f t="array" ref="Q35">+SUMPRODUCT(('Réel 2024'!$A$8:$A$501=$A35)*('Réel 2024'!$C$3:$AO$3=Q$2),'Réel 2024'!$C$8:$AO$501)</f>
        <v>54469.670000000006</v>
      </c>
      <c r="R35" s="246"/>
      <c r="S35" s="296">
        <f t="shared" si="22"/>
        <v>-4762.8500000000058</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112.52073732718894</v>
      </c>
      <c r="F36" s="254" cm="1">
        <f t="array" ref="F36">+SUMPRODUCT(('Budget original'!$A$8:$A$501=$A36)*('Budget original'!$C$3:$AO$3=F$2),'Budget original'!$C$8:$AO$501)</f>
        <v>48834</v>
      </c>
      <c r="G36" s="298"/>
      <c r="H36" s="291"/>
      <c r="I36" s="254"/>
      <c r="J36" s="253"/>
      <c r="K36" s="291">
        <f t="shared" si="19"/>
        <v>163.16</v>
      </c>
      <c r="L36" s="301">
        <f>SUMIFS(BV_Data_An_Cour!$P:$P,BV_Data_An_Cour!$U:$U,$B36,BV_Data_An_Cour!$V:$V,$C36,BV_Data_An_Cour!$W:$W,L$2)</f>
        <v>62000.800000000003</v>
      </c>
      <c r="M36" s="41"/>
      <c r="N36" s="276">
        <f t="shared" si="20"/>
        <v>13166.800000000003</v>
      </c>
      <c r="O36" s="253"/>
      <c r="P36" s="291">
        <f t="shared" si="21"/>
        <v>113.75819565217365</v>
      </c>
      <c r="Q36" s="272" cm="1">
        <f t="array" ref="Q36">+SUMPRODUCT(('Réel 2024'!$A$8:$A$501=$A36)*('Réel 2024'!$C$3:$AO$3=Q$2),'Réel 2024'!$C$8:$AO$501)</f>
        <v>52328.76999999988</v>
      </c>
      <c r="R36" s="253"/>
      <c r="S36" s="276">
        <f t="shared" si="22"/>
        <v>9672.0300000001225</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595.209444957659</v>
      </c>
      <c r="F37" s="254" cm="1">
        <f t="array" ref="F37">+SUMPRODUCT(('Budget original'!$A$8:$A$501=$A37)*('Budget original'!$C$3:$AO$3=F$2),'Budget original'!$C$8:$AO$501)</f>
        <v>258320.89911162402</v>
      </c>
      <c r="G37" s="298"/>
      <c r="H37" s="291"/>
      <c r="I37" s="254"/>
      <c r="J37" s="253"/>
      <c r="K37" s="291">
        <f t="shared" si="19"/>
        <v>218.31036842105263</v>
      </c>
      <c r="L37" s="951">
        <f>SUMIFS(BV_Data_An_Cour!$P:$P,BV_Data_An_Cour!$U:$U,$B37,BV_Data_An_Cour!$V:$V,$C37,BV_Data_An_Cour!$W:$W,L$2)</f>
        <v>82957.94</v>
      </c>
      <c r="M37" s="986"/>
      <c r="N37" s="961">
        <f t="shared" si="20"/>
        <v>-175362.95911162402</v>
      </c>
      <c r="O37" s="253"/>
      <c r="P37" s="291">
        <f t="shared" si="21"/>
        <v>556.07706521739124</v>
      </c>
      <c r="Q37" s="256" cm="1">
        <f t="array" ref="Q37">+SUMPRODUCT(('Réel 2024'!$A$8:$A$501=$A37)*('Réel 2024'!$C$3:$AO$3=Q$2),'Réel 2024'!$C$8:$AO$501)</f>
        <v>255795.44999999998</v>
      </c>
      <c r="R37" s="253"/>
      <c r="S37" s="276">
        <f t="shared" si="22"/>
        <v>-172837.50999999998</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2024'!$A$8:$A$501=$A38)*('Réel 2024'!$C$3:$AO$3=Q$2),'Réel 2024'!$C$8:$AO$501)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2024'!$A$8:$A$501=$A39)*('Réel 2024'!$C$3:$AO$3=Q$2),'Réel 2024'!$C$8:$AO$501)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2024'!$A$8:$A$501=$A40)*('Réel 2024'!$C$3:$AO$3=Q$2),'Réel 2024'!$C$8:$AO$501)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0.57904735902909221</v>
      </c>
      <c r="F41" s="307">
        <f>SUM(F31:F40)</f>
        <v>862814.89441969374</v>
      </c>
      <c r="G41" s="308"/>
      <c r="H41" s="306"/>
      <c r="I41" s="307"/>
      <c r="J41" s="308" t="s">
        <v>119</v>
      </c>
      <c r="K41" s="306">
        <f>L41/L$27</f>
        <v>0.47086445588803716</v>
      </c>
      <c r="L41" s="307">
        <f>SUM(L31:L40)</f>
        <v>608735</v>
      </c>
      <c r="M41" s="309"/>
      <c r="N41" s="307">
        <f t="shared" si="20"/>
        <v>-254079.89441969374</v>
      </c>
      <c r="O41" s="308" t="s">
        <v>119</v>
      </c>
      <c r="P41" s="306">
        <f>Q41/Q$27</f>
        <v>0.54015030784246698</v>
      </c>
      <c r="Q41" s="310">
        <f>SUM(Q31:Q40)</f>
        <v>838099.19999999984</v>
      </c>
      <c r="R41" s="311"/>
      <c r="S41" s="307">
        <f t="shared" si="22"/>
        <v>-229364.19999999984</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179273.4903846154</v>
      </c>
      <c r="G42" s="253"/>
      <c r="H42" s="41"/>
      <c r="I42" s="254"/>
      <c r="J42" s="253"/>
      <c r="K42" s="41"/>
      <c r="L42" s="256">
        <f>SUMIFS(BV_Data_An_Cour!$P:$P,BV_Data_An_Cour!$U:$U,$B42,BV_Data_An_Cour!$V:$V,$C42,BV_Data_An_Cour!$W:$W,L$2)</f>
        <v>147609.15</v>
      </c>
      <c r="M42" s="253"/>
      <c r="N42" s="276">
        <f t="shared" si="20"/>
        <v>-31664.340384615411</v>
      </c>
      <c r="O42" s="253"/>
      <c r="P42" s="41"/>
      <c r="Q42" s="256" cm="1">
        <f t="array" ref="Q42">+SUMPRODUCT(('Réel 2024'!$A$8:$A$501=$A42)*('Réel 2024'!$C$3:$AO$3=Q$2),'Réel 2024'!$C$8:$AO$501)</f>
        <v>109046.68999999999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103856.64307692309</v>
      </c>
      <c r="G43" s="298"/>
      <c r="H43" s="41"/>
      <c r="I43" s="248"/>
      <c r="J43" s="253"/>
      <c r="K43" s="604"/>
      <c r="L43" s="256">
        <f>SUMIFS(BV_Data_An_Cour!$P:$P,BV_Data_An_Cour!$U:$U,$B43,BV_Data_An_Cour!$V:$V,$C43,BV_Data_An_Cour!$W:$W,L$2)</f>
        <v>89645.49</v>
      </c>
      <c r="M43" s="253"/>
      <c r="N43" s="276">
        <f t="shared" si="20"/>
        <v>-14211.153076923089</v>
      </c>
      <c r="O43" s="253"/>
      <c r="P43" s="41"/>
      <c r="Q43" s="256" cm="1">
        <f t="array" ref="Q43">+SUMPRODUCT(('Réel 2024'!$A$8:$A$501=$A43)*('Réel 2024'!$C$3:$AO$3=Q$2),'Réel 2024'!$C$8:$AO$501)</f>
        <v>67414.59</v>
      </c>
      <c r="R43" s="253"/>
      <c r="S43" s="276">
        <f t="shared" ref="S43:S53" si="23">L43-Q43</f>
        <v>22230.900000000009</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2366.6538461538466</v>
      </c>
      <c r="G44" s="316"/>
      <c r="H44" s="315"/>
      <c r="I44" s="254"/>
      <c r="J44" s="241"/>
      <c r="K44" s="315"/>
      <c r="L44" s="272">
        <f>SUMIFS(BV_Data_An_Cour!$P:$P,BV_Data_An_Cour!$U:$U,$B44,BV_Data_An_Cour!$V:$V,$C44,BV_Data_An_Cour!$W:$W,L$2)</f>
        <v>11647.1</v>
      </c>
      <c r="M44" s="241"/>
      <c r="N44" s="317">
        <f t="shared" si="20"/>
        <v>9280.4461538461546</v>
      </c>
      <c r="O44" s="241"/>
      <c r="P44" s="315"/>
      <c r="Q44" s="272" cm="1">
        <f t="array" ref="Q44">+SUMPRODUCT(('Réel 2024'!$A$8:$A$501=$A44)*('Réel 2024'!$C$3:$AO$3=Q$2),'Réel 2024'!$C$8:$AO$501)</f>
        <v>23706.850000000002</v>
      </c>
      <c r="R44" s="241"/>
      <c r="S44" s="317">
        <f t="shared" si="23"/>
        <v>-12059.750000000002</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2024'!$A$8:$A$501=$A45)*('Réel 2024'!$C$3:$AO$3=Q$2),'Réel 2024'!$C$8:$AO$501)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2024'!$A$8:$A$501=$A46)*('Réel 2024'!$C$3:$AO$3=Q$2),'Réel 2024'!$C$8:$AO$501)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2024'!$A$8:$A$501=$A47)*('Réel 2024'!$C$3:$AO$3=Q$2),'Réel 2024'!$C$8:$AO$501)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2024'!$A$8:$A$501=$A48)*('Réel 2024'!$C$3:$AO$3=Q$2),'Réel 2024'!$C$8:$AO$501)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86033.733173137298</v>
      </c>
      <c r="G49" s="298"/>
      <c r="H49" s="41"/>
      <c r="I49" s="248"/>
      <c r="J49" s="253"/>
      <c r="K49" s="41"/>
      <c r="L49" s="248">
        <f>SUMIFS(BV_Data_An_Cour!$P:$P,BV_Data_An_Cour!$U:$U,$B49,BV_Data_An_Cour!$V:$V,$C49,BV_Data_An_Cour!$W:$W,L$2)</f>
        <v>81458.850000000006</v>
      </c>
      <c r="M49" s="253"/>
      <c r="N49" s="276">
        <f t="shared" si="20"/>
        <v>-4574.883173137292</v>
      </c>
      <c r="O49" s="253"/>
      <c r="P49" s="41"/>
      <c r="Q49" s="248" cm="1">
        <f t="array" ref="Q49">+SUMPRODUCT(('Réel 2024'!$A$8:$A$501=$A49)*('Réel 2024'!$C$3:$AO$3=Q$2),'Réel 2024'!$C$8:$AO$501)</f>
        <v>76979.95</v>
      </c>
      <c r="R49" s="253"/>
      <c r="S49" s="276">
        <f t="shared" si="23"/>
        <v>4478.9000000000087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104604.89143518016</v>
      </c>
      <c r="G50" s="316"/>
      <c r="H50" s="315"/>
      <c r="I50" s="254"/>
      <c r="J50" s="241"/>
      <c r="K50" s="315"/>
      <c r="L50" s="256">
        <f>SUMIFS(BV_Data_An_Cour!$P:$P,BV_Data_An_Cour!$U:$U,$B50,BV_Data_An_Cour!$V:$V,$C50,BV_Data_An_Cour!$W:$W,L$2)</f>
        <v>102645.73</v>
      </c>
      <c r="M50" s="241"/>
      <c r="N50" s="317">
        <f t="shared" si="20"/>
        <v>-1959.1614351801691</v>
      </c>
      <c r="O50" s="241"/>
      <c r="P50" s="315"/>
      <c r="Q50" s="256" cm="1">
        <f t="array" ref="Q50">+SUMPRODUCT(('Réel 2024'!$A$8:$A$501=$A50)*('Réel 2024'!$C$3:$AO$3=Q$2),'Réel 2024'!$C$8:$AO$501)</f>
        <v>108891.4</v>
      </c>
      <c r="R50" s="241"/>
      <c r="S50" s="317">
        <f t="shared" si="23"/>
        <v>-6245.6699999999983</v>
      </c>
      <c r="T50" s="41"/>
      <c r="U50" s="254">
        <f>L50-Print_Mois!L50</f>
        <v>88893.709999999992</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53894.259282908039</v>
      </c>
      <c r="G51" s="298"/>
      <c r="H51" s="41"/>
      <c r="I51" s="254"/>
      <c r="J51" s="253"/>
      <c r="K51" s="41"/>
      <c r="L51" s="256">
        <f>SUMIFS(BV_Data_An_Cour!$P:$P,BV_Data_An_Cour!$U:$U,$B51,BV_Data_An_Cour!$V:$V,$C51,BV_Data_An_Cour!$W:$W,L$2)</f>
        <v>50180.93</v>
      </c>
      <c r="M51" s="253"/>
      <c r="N51" s="276">
        <f t="shared" si="20"/>
        <v>-3713.3292829080383</v>
      </c>
      <c r="O51" s="253"/>
      <c r="P51" s="41"/>
      <c r="Q51" s="256" cm="1">
        <f t="array" ref="Q51">+SUMPRODUCT(('Réel 2024'!$A$8:$A$501=$A51)*('Réel 2024'!$C$3:$AO$3=Q$2),'Réel 2024'!$C$8:$AO$501)</f>
        <v>48856.800000000003</v>
      </c>
      <c r="R51" s="253"/>
      <c r="S51" s="276">
        <f t="shared" si="23"/>
        <v>1324.1299999999974</v>
      </c>
      <c r="T51" s="41"/>
      <c r="U51" s="254">
        <f>L51-Print_Mois!L51</f>
        <v>43002.75</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23498.200249931775</v>
      </c>
      <c r="G52" s="298"/>
      <c r="H52" s="41"/>
      <c r="I52" s="254"/>
      <c r="J52" s="253"/>
      <c r="K52" s="41"/>
      <c r="L52" s="256">
        <f>SUMIFS(BV_Data_An_Cour!$P:$P,BV_Data_An_Cour!$U:$U,$B52,BV_Data_An_Cour!$V:$V,$C52,BV_Data_An_Cour!$W:$W,L$2)</f>
        <v>19890.39</v>
      </c>
      <c r="M52" s="253"/>
      <c r="N52" s="276">
        <f t="shared" si="20"/>
        <v>-3607.8102499317756</v>
      </c>
      <c r="O52" s="253"/>
      <c r="P52" s="41"/>
      <c r="Q52" s="256" cm="1">
        <f t="array" ref="Q52">+SUMPRODUCT(('Réel 2024'!$A$8:$A$501=$A52)*('Réel 2024'!$C$3:$AO$3=Q$2),'Réel 2024'!$C$8:$AO$501)</f>
        <v>19198.05</v>
      </c>
      <c r="R52" s="253"/>
      <c r="S52" s="276">
        <f t="shared" si="23"/>
        <v>692.34000000000015</v>
      </c>
      <c r="T52" s="41"/>
      <c r="U52" s="254">
        <f>L52-Print_Mois!L52</f>
        <v>16649.28</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2024'!$A$8:$A$501=$A53)*('Réel 2024'!$C$3:$AO$3=Q$2),'Réel 2024'!$C$8:$AO$501)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0.37148043477740794</v>
      </c>
      <c r="F54" s="307">
        <f>+SUM(F42:F53)</f>
        <v>553527.87144884956</v>
      </c>
      <c r="G54" s="308"/>
      <c r="H54" s="306"/>
      <c r="I54" s="307"/>
      <c r="J54" s="308" t="s">
        <v>119</v>
      </c>
      <c r="K54" s="306">
        <f>L54/L$27</f>
        <v>0.38913711093996212</v>
      </c>
      <c r="L54" s="307">
        <f>+SUM(L42:L53)</f>
        <v>503077.64</v>
      </c>
      <c r="M54" s="311"/>
      <c r="N54" s="307">
        <f>+SUM(N42:N53)</f>
        <v>-50450.231448849619</v>
      </c>
      <c r="O54" s="308" t="s">
        <v>119</v>
      </c>
      <c r="P54" s="306">
        <f>Q54/Q$27</f>
        <v>0.29266128894887239</v>
      </c>
      <c r="Q54" s="307">
        <f>+SUM(Q42:Q53)</f>
        <v>454094.32999999996</v>
      </c>
      <c r="R54" s="311"/>
      <c r="S54" s="307">
        <f>+SUM(S42:S53)</f>
        <v>10420.850000000015</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2024'!$A$8:$A$501=$A55)*('Réel 2024'!$C$3:$AO$3=Q$2),'Réel 2024'!$C$8:$AO$501)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2024'!$A$8:$A$501=$A56)*('Réel 2024'!$C$3:$AO$3=Q$2),'Réel 2024'!$C$8:$AO$501)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62667.835533333338</v>
      </c>
      <c r="G57" s="300"/>
      <c r="H57" s="318"/>
      <c r="I57" s="248"/>
      <c r="J57" s="246"/>
      <c r="K57" s="318"/>
      <c r="L57" s="248">
        <f>SUMIFS(BV_Data_An_Cour!$P:$P,BV_Data_An_Cour!$U:$U,$B57,BV_Data_An_Cour!$V:$V,$C57,BV_Data_An_Cour!$W:$W,L$2)</f>
        <v>68002.81</v>
      </c>
      <c r="M57" s="246"/>
      <c r="N57" s="296">
        <f t="shared" si="24"/>
        <v>5334.9744666666593</v>
      </c>
      <c r="O57" s="246"/>
      <c r="P57" s="318"/>
      <c r="Q57" s="248" cm="1">
        <f t="array" ref="Q57">+SUMPRODUCT(('Réel 2024'!$A$8:$A$501=$A57)*('Réel 2024'!$C$3:$AO$3=Q$2),'Réel 2024'!$C$8:$AO$501)</f>
        <v>57308.99</v>
      </c>
      <c r="R57" s="246"/>
      <c r="S57" s="296">
        <f t="shared" si="25"/>
        <v>10693.82</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55726.963309608909</v>
      </c>
      <c r="G58" s="298"/>
      <c r="H58" s="41"/>
      <c r="I58" s="254"/>
      <c r="J58" s="253"/>
      <c r="K58" s="41"/>
      <c r="L58" s="256">
        <f>SUMIFS(BV_Data_An_Cour!$P:$P,BV_Data_An_Cour!$U:$U,$B58,BV_Data_An_Cour!$V:$V,$C58,BV_Data_An_Cour!$W:$W,L$2)</f>
        <v>49901.91</v>
      </c>
      <c r="M58" s="253"/>
      <c r="N58" s="276">
        <f t="shared" si="24"/>
        <v>-5825.0533096089057</v>
      </c>
      <c r="O58" s="253"/>
      <c r="P58" s="41"/>
      <c r="Q58" s="256" cm="1">
        <f t="array" ref="Q58">+SUMPRODUCT(('Réel 2024'!$A$8:$A$501=$A58)*('Réel 2024'!$C$3:$AO$3=Q$2),'Réel 2024'!$C$8:$AO$501)</f>
        <v>48815.53</v>
      </c>
      <c r="R58" s="253"/>
      <c r="S58" s="276">
        <f t="shared" si="25"/>
        <v>1086.3800000000047</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8866.8825060408635</v>
      </c>
      <c r="G59" s="298"/>
      <c r="H59" s="41"/>
      <c r="I59" s="254"/>
      <c r="J59" s="253"/>
      <c r="K59" s="41"/>
      <c r="L59" s="256">
        <f>SUMIFS(BV_Data_An_Cour!$P:$P,BV_Data_An_Cour!$U:$U,$B59,BV_Data_An_Cour!$V:$V,$C59,BV_Data_An_Cour!$W:$W,L$2)</f>
        <v>10666.13</v>
      </c>
      <c r="M59" s="253"/>
      <c r="N59" s="276">
        <f t="shared" si="24"/>
        <v>1799.2474939591357</v>
      </c>
      <c r="O59" s="253"/>
      <c r="P59" s="41"/>
      <c r="Q59" s="256" cm="1">
        <f t="array" ref="Q59">+SUMPRODUCT(('Réel 2024'!$A$8:$A$501=$A59)*('Réel 2024'!$C$3:$AO$3=Q$2),'Réel 2024'!$C$8:$AO$501)</f>
        <v>9322.48</v>
      </c>
      <c r="R59" s="253"/>
      <c r="S59" s="276">
        <f t="shared" si="25"/>
        <v>1343.6499999999996</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50510.18506511271</v>
      </c>
      <c r="G60" s="300"/>
      <c r="H60" s="318"/>
      <c r="I60" s="248"/>
      <c r="J60" s="246"/>
      <c r="K60" s="318"/>
      <c r="L60" s="248">
        <f>SUMIFS(BV_Data_An_Cour!$P:$P,BV_Data_An_Cour!$U:$U,$B60,BV_Data_An_Cour!$V:$V,$C60,BV_Data_An_Cour!$W:$W,L$2)</f>
        <v>55199.59</v>
      </c>
      <c r="M60" s="246"/>
      <c r="N60" s="296">
        <f t="shared" si="24"/>
        <v>4689.4049348872868</v>
      </c>
      <c r="O60" s="246"/>
      <c r="P60" s="318"/>
      <c r="Q60" s="248" cm="1">
        <f t="array" ref="Q60">+SUMPRODUCT(('Réel 2024'!$A$8:$A$501=$A60)*('Réel 2024'!$C$3:$AO$3=Q$2),'Réel 2024'!$C$8:$AO$501)</f>
        <v>49963.51999999999</v>
      </c>
      <c r="R60" s="246"/>
      <c r="S60" s="296">
        <f t="shared" si="25"/>
        <v>5236.070000000007</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680.80133333333345</v>
      </c>
      <c r="G61" s="298"/>
      <c r="H61" s="41"/>
      <c r="I61" s="254"/>
      <c r="J61" s="253"/>
      <c r="K61" s="41"/>
      <c r="L61" s="256">
        <f>SUMIFS(BV_Data_An_Cour!$P:$P,BV_Data_An_Cour!$U:$U,$B61,BV_Data_An_Cour!$V:$V,$C61,BV_Data_An_Cour!$W:$W,L$2)</f>
        <v>306.39</v>
      </c>
      <c r="M61" s="253"/>
      <c r="N61" s="276">
        <f t="shared" si="24"/>
        <v>-374.41133333333346</v>
      </c>
      <c r="O61" s="253"/>
      <c r="P61" s="41"/>
      <c r="Q61" s="256" cm="1">
        <f t="array" ref="Q61">+SUMPRODUCT(('Réel 2024'!$A$8:$A$501=$A61)*('Réel 2024'!$C$3:$AO$3=Q$2),'Réel 2024'!$C$8:$AO$501)</f>
        <v>480.3</v>
      </c>
      <c r="R61" s="253"/>
      <c r="S61" s="276">
        <f t="shared" si="25"/>
        <v>-173.91000000000003</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198.33333333333334</v>
      </c>
      <c r="G62" s="298"/>
      <c r="H62" s="41"/>
      <c r="I62" s="254"/>
      <c r="J62" s="253"/>
      <c r="K62" s="41"/>
      <c r="L62" s="256">
        <f>SUMIFS(BV_Data_An_Cour!$P:$P,BV_Data_An_Cour!$U:$U,$B62,BV_Data_An_Cour!$V:$V,$C62,BV_Data_An_Cour!$W:$W,L$2)</f>
        <v>623</v>
      </c>
      <c r="M62" s="253"/>
      <c r="N62" s="276">
        <f t="shared" si="24"/>
        <v>424.66666666666663</v>
      </c>
      <c r="O62" s="253"/>
      <c r="P62" s="41"/>
      <c r="Q62" s="256" cm="1">
        <f t="array" ref="Q62">+SUMPRODUCT(('Réel 2024'!$A$8:$A$501=$A62)*('Réel 2024'!$C$3:$AO$3=Q$2),'Réel 2024'!$C$8:$AO$501)</f>
        <v>0</v>
      </c>
      <c r="R62" s="253"/>
      <c r="S62" s="276">
        <f t="shared" si="25"/>
        <v>623</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5190.0162626838401</v>
      </c>
      <c r="G63" s="298"/>
      <c r="H63" s="41"/>
      <c r="I63" s="254"/>
      <c r="J63" s="253"/>
      <c r="K63" s="41"/>
      <c r="L63" s="256">
        <f>SUMIFS(BV_Data_An_Cour!$P:$P,BV_Data_An_Cour!$U:$U,$B63,BV_Data_An_Cour!$V:$V,$C63,BV_Data_An_Cour!$W:$W,L$2)</f>
        <v>3479.25</v>
      </c>
      <c r="M63" s="253"/>
      <c r="N63" s="276">
        <f t="shared" si="24"/>
        <v>-1710.7662626838401</v>
      </c>
      <c r="O63" s="253"/>
      <c r="P63" s="41"/>
      <c r="Q63" s="256" cm="1">
        <f t="array" ref="Q63">+SUMPRODUCT(('Réel 2024'!$A$8:$A$501=$A63)*('Réel 2024'!$C$3:$AO$3=Q$2),'Réel 2024'!$C$8:$AO$501)</f>
        <v>4319.8500000000004</v>
      </c>
      <c r="R63" s="253"/>
      <c r="S63" s="276">
        <f t="shared" si="25"/>
        <v>-840.60000000000036</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2413.6138944258755</v>
      </c>
      <c r="G64" s="298"/>
      <c r="H64" s="41"/>
      <c r="I64" s="254"/>
      <c r="J64" s="253"/>
      <c r="K64" s="41"/>
      <c r="L64" s="256">
        <f>SUMIFS(BV_Data_An_Cour!$P:$P,BV_Data_An_Cour!$U:$U,$B64,BV_Data_An_Cour!$V:$V,$C64,BV_Data_An_Cour!$W:$W,L$2)</f>
        <v>2909.81</v>
      </c>
      <c r="M64" s="253"/>
      <c r="N64" s="276">
        <f t="shared" si="24"/>
        <v>496.19610557412443</v>
      </c>
      <c r="O64" s="253"/>
      <c r="P64" s="41"/>
      <c r="Q64" s="256" cm="1">
        <f t="array" ref="Q64">+SUMPRODUCT(('Réel 2024'!$A$8:$A$501=$A64)*('Réel 2024'!$C$3:$AO$3=Q$2),'Réel 2024'!$C$8:$AO$501)</f>
        <v>2377.9900000000002</v>
      </c>
      <c r="R64" s="253"/>
      <c r="S64" s="276">
        <f t="shared" si="25"/>
        <v>531.81999999999971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719.75676757892438</v>
      </c>
      <c r="G65" s="298"/>
      <c r="H65" s="41"/>
      <c r="I65" s="254"/>
      <c r="J65" s="253"/>
      <c r="K65" s="41"/>
      <c r="L65" s="256">
        <f>SUMIFS(BV_Data_An_Cour!$P:$P,BV_Data_An_Cour!$U:$U,$B65,BV_Data_An_Cour!$V:$V,$C65,BV_Data_An_Cour!$W:$W,L$2)</f>
        <v>2064.92</v>
      </c>
      <c r="M65" s="253"/>
      <c r="N65" s="276">
        <f t="shared" si="24"/>
        <v>1345.1632324210757</v>
      </c>
      <c r="O65" s="253"/>
      <c r="P65" s="41"/>
      <c r="Q65" s="256" cm="1">
        <f t="array" ref="Q65">+SUMPRODUCT(('Réel 2024'!$A$8:$A$501=$A65)*('Réel 2024'!$C$3:$AO$3=Q$2),'Réel 2024'!$C$8:$AO$501)</f>
        <v>746.6</v>
      </c>
      <c r="R65" s="253"/>
      <c r="S65" s="276">
        <f t="shared" si="25"/>
        <v>1318.3200000000002</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1408.1926961755646</v>
      </c>
      <c r="G66" s="298"/>
      <c r="H66" s="41"/>
      <c r="I66" s="254"/>
      <c r="J66" s="253"/>
      <c r="K66" s="41"/>
      <c r="L66" s="256">
        <f>SUMIFS(BV_Data_An_Cour!$P:$P,BV_Data_An_Cour!$U:$U,$B66,BV_Data_An_Cour!$V:$V,$C66,BV_Data_An_Cour!$W:$W,L$2)</f>
        <v>590.04</v>
      </c>
      <c r="M66" s="253"/>
      <c r="N66" s="276">
        <f t="shared" si="24"/>
        <v>-818.15269617556464</v>
      </c>
      <c r="O66" s="253"/>
      <c r="P66" s="41"/>
      <c r="Q66" s="256" cm="1">
        <f t="array" ref="Q66">+SUMPRODUCT(('Réel 2024'!$A$8:$A$501=$A66)*('Réel 2024'!$C$3:$AO$3=Q$2),'Réel 2024'!$C$8:$AO$501)</f>
        <v>1184.3799999999999</v>
      </c>
      <c r="R66" s="253"/>
      <c r="S66" s="276">
        <f t="shared" si="25"/>
        <v>-594.33999999999992</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13542.943749999997</v>
      </c>
      <c r="G67" s="298"/>
      <c r="H67" s="41"/>
      <c r="I67" s="254"/>
      <c r="J67" s="253"/>
      <c r="K67" s="41"/>
      <c r="L67" s="256">
        <f>SUMIFS(BV_Data_An_Cour!$P:$P,BV_Data_An_Cour!$U:$U,$B67,BV_Data_An_Cour!$V:$V,$C67,BV_Data_An_Cour!$W:$W,L$2)</f>
        <v>15505.24</v>
      </c>
      <c r="M67" s="253"/>
      <c r="N67" s="276">
        <f t="shared" si="24"/>
        <v>1962.2962500000031</v>
      </c>
      <c r="O67" s="253"/>
      <c r="P67" s="41"/>
      <c r="Q67" s="256" cm="1">
        <f t="array" ref="Q67">+SUMPRODUCT(('Réel 2024'!$A$8:$A$501=$A67)*('Réel 2024'!$C$3:$AO$3=Q$2),'Réel 2024'!$C$8:$AO$501)</f>
        <v>11587.74</v>
      </c>
      <c r="R67" s="253"/>
      <c r="S67" s="276">
        <f t="shared" si="25"/>
        <v>3917.5</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23296.5315496771</v>
      </c>
      <c r="G68" s="298"/>
      <c r="H68" s="41"/>
      <c r="I68" s="254"/>
      <c r="J68" s="253"/>
      <c r="K68" s="41"/>
      <c r="L68" s="952">
        <f>SUMIFS(BV_Data_An_Cour!$P:$P,BV_Data_An_Cour!$U:$U,$B68,BV_Data_An_Cour!$V:$V,$C68,BV_Data_An_Cour!$W:$W,L$2)</f>
        <v>25272.27</v>
      </c>
      <c r="M68" s="987"/>
      <c r="N68" s="961">
        <f t="shared" si="24"/>
        <v>1975.7384503229005</v>
      </c>
      <c r="O68" s="253"/>
      <c r="P68" s="41"/>
      <c r="Q68" s="256" cm="1">
        <f t="array" ref="Q68">+SUMPRODUCT(('Réel 2024'!$A$8:$A$501=$A68)*('Réel 2024'!$C$3:$AO$3=Q$2),'Réel 2024'!$C$8:$AO$501)</f>
        <v>24844.27</v>
      </c>
      <c r="R68" s="253"/>
      <c r="S68" s="276">
        <f t="shared" si="25"/>
        <v>428</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2024'!$A$8:$A$501=$A69)*('Réel 2024'!$C$3:$AO$3=Q$2),'Réel 2024'!$C$8:$AO$501)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2024'!$A$8:$A$501=$A70)*('Réel 2024'!$C$3:$AO$3=Q$2),'Réel 2024'!$C$8:$AO$501)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2024'!$A$8:$A$501=$A71)*('Réel 2024'!$C$3:$AO$3=Q$2),'Réel 2024'!$C$8:$AO$501)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0.15114972813533825</v>
      </c>
      <c r="F72" s="307">
        <f>+SUM(F55:F71)</f>
        <v>225222.05600130383</v>
      </c>
      <c r="G72" s="308"/>
      <c r="H72" s="306"/>
      <c r="I72" s="307"/>
      <c r="J72" s="308" t="s">
        <v>119</v>
      </c>
      <c r="K72" s="306">
        <f>L72/L$27</f>
        <v>0.1814053283785596</v>
      </c>
      <c r="L72" s="307">
        <f>+SUM(L55:L71)</f>
        <v>234521.36000000002</v>
      </c>
      <c r="M72" s="311"/>
      <c r="N72" s="307">
        <f>+SUM(N55:N71)</f>
        <v>9299.3039986962103</v>
      </c>
      <c r="O72" s="308" t="s">
        <v>119</v>
      </c>
      <c r="P72" s="306">
        <f>Q72/Q$27</f>
        <v>0.13595717390897918</v>
      </c>
      <c r="Q72" s="307">
        <f>+SUM(Q55:Q71)</f>
        <v>210951.64999999994</v>
      </c>
      <c r="R72" s="311"/>
      <c r="S72" s="307">
        <f>+SUM(S55:S71)</f>
        <v>23569.71000000001</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1.1016775219418382</v>
      </c>
      <c r="F74" s="307">
        <f>F41+F54+F72</f>
        <v>1641564.8218698469</v>
      </c>
      <c r="G74" s="308"/>
      <c r="H74" s="306"/>
      <c r="I74" s="307"/>
      <c r="J74" s="308" t="s">
        <v>119</v>
      </c>
      <c r="K74" s="306">
        <f>L74/L$27</f>
        <v>1.0414068952065589</v>
      </c>
      <c r="L74" s="307">
        <f>L41+L54+L72</f>
        <v>1346334.0000000002</v>
      </c>
      <c r="M74" s="311"/>
      <c r="N74" s="320">
        <f t="shared" ref="N74:N82" si="26">L74-F74</f>
        <v>-295230.82186984667</v>
      </c>
      <c r="O74" s="308" t="s">
        <v>119</v>
      </c>
      <c r="P74" s="306">
        <f>Q74/Q$27</f>
        <v>0.96876877070031853</v>
      </c>
      <c r="Q74" s="307">
        <f>Q41+Q54+Q72</f>
        <v>1503145.1799999997</v>
      </c>
      <c r="R74" s="311"/>
      <c r="S74" s="320">
        <f>L74-Q74</f>
        <v>-156811.17999999947</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50000</v>
      </c>
      <c r="G75" s="298"/>
      <c r="H75" s="41"/>
      <c r="I75" s="254"/>
      <c r="J75" s="253"/>
      <c r="K75" s="41"/>
      <c r="L75" s="256">
        <f>-SUMIFS(BV_Data_An_Cour!$P:$P,BV_Data_An_Cour!$U:$U,$B75,BV_Data_An_Cour!$V:$V,$C75,BV_Data_An_Cour!$W:$W,L$2)</f>
        <v>12000</v>
      </c>
      <c r="M75" s="253"/>
      <c r="N75" s="276">
        <f t="shared" si="26"/>
        <v>-38000</v>
      </c>
      <c r="O75" s="253"/>
      <c r="P75" s="41"/>
      <c r="Q75" s="256" cm="1">
        <f t="array" ref="Q75">+SUMPRODUCT(('Réel 2024'!$A$8:$A$501=$A75)*('Réel 2024'!$C$3:$AO$3=Q$2),'Réel 2024'!$C$8:$AO$501)</f>
        <v>38795</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2024'!$A$8:$A$501=$A76)*('Réel 2024'!$C$3:$AO$3=Q$2),'Réel 2024'!$C$8:$AO$501)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2024'!$A$8:$A$501=$A77)*('Réel 2024'!$C$3:$AO$3=Q$2),'Réel 2024'!$C$8:$AO$501)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618183.02702497551</v>
      </c>
      <c r="G78" s="298"/>
      <c r="H78" s="41"/>
      <c r="I78" s="254"/>
      <c r="J78" s="253"/>
      <c r="K78" s="41"/>
      <c r="L78" s="256">
        <f>-SUMIFS(BV_Data_An_Cour!$P:$P,BV_Data_An_Cour!$U:$U,$B78,BV_Data_An_Cour!$V:$V,$C78,BV_Data_An_Cour!$W:$W,L$2)</f>
        <v>503120.4</v>
      </c>
      <c r="M78" s="253"/>
      <c r="N78" s="276">
        <f t="shared" si="26"/>
        <v>-115062.62702497549</v>
      </c>
      <c r="O78" s="253"/>
      <c r="P78" s="41"/>
      <c r="Q78" s="256" cm="1">
        <f t="array" ref="Q78">+SUMPRODUCT(('Réel 2024'!$A$8:$A$501=$A78)*('Réel 2024'!$C$3:$AO$3=Q$2),'Réel 2024'!$C$8:$AO$501)</f>
        <v>615115.4</v>
      </c>
      <c r="R78" s="253"/>
      <c r="S78" s="276">
        <f t="shared" si="27"/>
        <v>-111995</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2024'!$A$8:$A$501=$A79)*('Réel 2024'!$C$3:$AO$3=Q$2),'Réel 2024'!$C$8:$AO$501)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2024'!$A$8:$A$501=$A80)*('Réel 2024'!$C$3:$AO$3=Q$2),'Réel 2024'!$C$8:$AO$501)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2024'!$A$8:$A$501=$A81)*('Réel 2024'!$C$3:$AO$3=Q$2),'Réel 2024'!$C$8:$AO$501)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205737.69999999998</v>
      </c>
      <c r="G82" s="298"/>
      <c r="H82" s="41"/>
      <c r="I82" s="254"/>
      <c r="J82" s="253"/>
      <c r="K82" s="41"/>
      <c r="L82" s="256">
        <f>-SUMIFS(BV_Data_An_Cour!$P:$P,BV_Data_An_Cour!$U:$U,$B82,BV_Data_An_Cour!$V:$V,$C82,BV_Data_An_Cour!$W:$W,L$2)</f>
        <v>178065</v>
      </c>
      <c r="M82" s="253"/>
      <c r="N82" s="276">
        <f t="shared" si="26"/>
        <v>-27672.699999999983</v>
      </c>
      <c r="O82" s="253"/>
      <c r="P82" s="41"/>
      <c r="Q82" s="256" cm="1">
        <f t="array" ref="Q82">+SUMPRODUCT(('Réel 2024'!$A$8:$A$501=$A82)*('Réel 2024'!$C$3:$AO$3=Q$2),'Réel 2024'!$C$8:$AO$501)</f>
        <v>213522.5</v>
      </c>
      <c r="R82" s="253"/>
      <c r="S82" s="276">
        <f t="shared" si="27"/>
        <v>-35457.5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873920.72702497547</v>
      </c>
      <c r="G83" s="308"/>
      <c r="H83" s="306"/>
      <c r="I83" s="307"/>
      <c r="J83" s="308"/>
      <c r="K83" s="306"/>
      <c r="L83" s="307">
        <f>+SUM(L75:L82)</f>
        <v>693185.4</v>
      </c>
      <c r="M83" s="311"/>
      <c r="N83" s="307">
        <f>+SUM(N75:N82)</f>
        <v>-180735.32702497547</v>
      </c>
      <c r="O83" s="308"/>
      <c r="P83" s="306"/>
      <c r="Q83" s="307">
        <f>+SUM(Q75:Q82)</f>
        <v>867432.9</v>
      </c>
      <c r="R83" s="311"/>
      <c r="S83" s="307">
        <f>+SUM(S75:S82)</f>
        <v>-147452.5</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722415.19126672391</v>
      </c>
      <c r="G85" s="336"/>
      <c r="H85" s="334"/>
      <c r="I85" s="335"/>
      <c r="J85" s="336"/>
      <c r="K85" s="333"/>
      <c r="L85" s="335">
        <f>L27-L74+L83</f>
        <v>639654.43999999913</v>
      </c>
      <c r="M85" s="336"/>
      <c r="N85" s="335">
        <f>N27-N41-N54-N72+N83</f>
        <v>-82760.751266724328</v>
      </c>
      <c r="O85" s="336"/>
      <c r="P85" s="333"/>
      <c r="Q85" s="335">
        <f>Q27-Q74+Q83</f>
        <v>915891.38999999722</v>
      </c>
      <c r="R85" s="336"/>
      <c r="S85" s="335">
        <f>L85-Q85</f>
        <v>-276236.94999999809</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Juillet 2025</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5" t="s">
        <v>343</v>
      </c>
      <c r="E91" s="1226"/>
      <c r="F91" s="1227"/>
      <c r="G91" s="1230"/>
      <c r="H91" s="1226"/>
      <c r="I91" s="1227"/>
      <c r="J91" s="1230" t="s">
        <v>344</v>
      </c>
      <c r="K91" s="1226"/>
      <c r="L91" s="1227"/>
      <c r="M91" s="1230" t="s">
        <v>3310</v>
      </c>
      <c r="N91" s="1227"/>
      <c r="O91" s="1225" t="s">
        <v>345</v>
      </c>
      <c r="P91" s="1226"/>
      <c r="Q91" s="1227"/>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3318</v>
      </c>
      <c r="K92" s="243" t="s">
        <v>94</v>
      </c>
      <c r="L92" s="244" t="s">
        <v>95</v>
      </c>
      <c r="M92" s="245" t="s">
        <v>3318</v>
      </c>
      <c r="N92" s="244" t="s">
        <v>95</v>
      </c>
      <c r="O92" s="243" t="s">
        <v>93</v>
      </c>
      <c r="P92" s="243" t="s">
        <v>348</v>
      </c>
      <c r="Q92" s="244" t="s">
        <v>95</v>
      </c>
      <c r="R92" s="245" t="s">
        <v>3318</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10578521.381387586</v>
      </c>
      <c r="G93" s="267"/>
      <c r="H93" s="250"/>
      <c r="I93" s="248"/>
      <c r="J93" s="246"/>
      <c r="K93" s="250"/>
      <c r="L93" s="248">
        <f>-SUMIFS(BV_Data_An_Cour!$P:$P,BV_Data_An_Cour!$X:$X,"Oui",BV_Data_An_Cour!$U:$U,$B93)</f>
        <v>7968673.8800000008</v>
      </c>
      <c r="M93" s="342"/>
      <c r="N93" s="343"/>
      <c r="O93" s="246"/>
      <c r="P93" s="250"/>
      <c r="Q93" s="248" cm="1">
        <f t="array" ref="Q93">+SUMPRODUCT(('Réel 2024'!$A$8:$A$501=$A93)*('Réel 2024'!$C$3:$AO$3=Q$2),'Réel 2024'!$C$8:$AO$501)</f>
        <v>9786148.1799999792</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165</v>
      </c>
      <c r="E94" s="254">
        <f t="shared" ref="E94:E100" si="29">IF(D94=0,0,F94/D94)</f>
        <v>1400</v>
      </c>
      <c r="F94" s="254" cm="1">
        <f t="array" ref="F94">+SUMPRODUCT(('Budget original'!$A$8:$A$501=$A94)*('Budget original'!$C$3:$AO$3=F$2),'Budget original'!$C$8:$AO$501)</f>
        <v>231000</v>
      </c>
      <c r="G94" s="255"/>
      <c r="H94" s="254"/>
      <c r="I94" s="254"/>
      <c r="J94" s="255">
        <f>-SUMIFS(BV_Data_An_Cour!$P:$P,BV_Data_An_Cour!$U:$U,$B94,BV_Data_An_Cour!$V:$V,$C94,BV_Data_An_Cour!$W:$W,J$2)</f>
        <v>174</v>
      </c>
      <c r="K94" s="254">
        <f t="shared" ref="K94:K95" si="30">IF(J94=0,0,L94/J94)</f>
        <v>1369.935172413795</v>
      </c>
      <c r="L94" s="256">
        <f>-SUMIFS(BV_Data_An_Cour!$P:$P,BV_Data_An_Cour!$U:$U,$B94,BV_Data_An_Cour!$V:$V,$C94,BV_Data_An_Cour!$W:$W,$L2)</f>
        <v>238368.72000000032</v>
      </c>
      <c r="M94" s="255">
        <f>J94-D94</f>
        <v>9</v>
      </c>
      <c r="N94" s="256">
        <f>L94-F94</f>
        <v>7368.7200000003213</v>
      </c>
      <c r="O94" s="255" cm="1">
        <f t="array" ref="O94">+SUMPRODUCT(('Réel 2024'!$A$8:$A$501=$A94)*('Réel 2024'!$C$3:$AO$3=O$2),'Réel 2024'!$C$8:$AO$501)</f>
        <v>174</v>
      </c>
      <c r="P94" s="254">
        <f t="shared" ref="P94:P100" si="31">IF(O94=0,0,Q94/O94)</f>
        <v>751.22040229884942</v>
      </c>
      <c r="Q94" s="256" cm="1">
        <f t="array" ref="Q94">+SUMPRODUCT(('Réel 2024'!$A$8:$A$501=$A94)*('Réel 2024'!$C$3:$AO$3=Q$2),'Réel 2024'!$C$8:$AO$501)</f>
        <v>130712.3499999998</v>
      </c>
      <c r="R94" s="255">
        <f t="shared" ref="R94:R95" si="32">J94-O94</f>
        <v>0</v>
      </c>
      <c r="S94" s="256">
        <f t="shared" ref="S94:S95" si="33">L94-Q94</f>
        <v>107656.37000000052</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19</v>
      </c>
      <c r="E95" s="1076">
        <f t="shared" si="29"/>
        <v>1800</v>
      </c>
      <c r="F95" s="254" cm="1">
        <f t="array" ref="F95">+SUMPRODUCT(('Budget original'!$A$8:$A$501=$A95)*('Budget original'!$C$3:$AO$3=F$2),'Budget original'!$C$8:$AO$501)</f>
        <v>34200</v>
      </c>
      <c r="G95" s="255"/>
      <c r="H95" s="254"/>
      <c r="I95" s="254"/>
      <c r="J95" s="255">
        <f>-SUMIFS(BV_Data_An_Cour!$P:$P,BV_Data_An_Cour!$U:$U,$B95,BV_Data_An_Cour!$V:$V,$C95,BV_Data_An_Cour!$W:$W,J$2)</f>
        <v>8</v>
      </c>
      <c r="K95" s="254">
        <f t="shared" si="30"/>
        <v>574.7374999999995</v>
      </c>
      <c r="L95" s="256">
        <f>-SUMIFS(BV_Data_An_Cour!$P:$P,BV_Data_An_Cour!$U:$U,$B95,BV_Data_An_Cour!$V:$V,$C95,BV_Data_An_Cour!$W:$W,$L2)</f>
        <v>4597.899999999996</v>
      </c>
      <c r="M95" s="255">
        <f>J95-D95</f>
        <v>-11</v>
      </c>
      <c r="N95" s="256">
        <f>L95-F95</f>
        <v>-29602.100000000006</v>
      </c>
      <c r="O95" s="255" cm="1">
        <f t="array" ref="O95">+SUMPRODUCT(('Réel 2024'!$A$8:$A$501=$A95)*('Réel 2024'!$C$3:$AO$3=O$2),'Réel 2024'!$C$8:$AO$501)</f>
        <v>13</v>
      </c>
      <c r="P95" s="254">
        <f t="shared" si="31"/>
        <v>27.183076923076932</v>
      </c>
      <c r="Q95" s="256" cm="1">
        <f t="array" ref="Q95">+SUMPRODUCT(('Réel 2024'!$A$8:$A$501=$A95)*('Réel 2024'!$C$3:$AO$3=Q$2),'Réel 2024'!$C$8:$AO$501)</f>
        <v>353.38000000000011</v>
      </c>
      <c r="R95" s="255">
        <f t="shared" si="32"/>
        <v>-5</v>
      </c>
      <c r="S95" s="256">
        <f t="shared" si="33"/>
        <v>4244.5199999999959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3858</v>
      </c>
      <c r="D96" s="254" cm="1">
        <f t="array" ref="D96">+SUMPRODUCT(('Budget original'!$A$8:$A$501=$A96)*('Budget original'!$C$3:$AO$3=D$2),'Budget original'!$C$8:$AO$501)</f>
        <v>30</v>
      </c>
      <c r="E96" s="1078">
        <f t="shared" si="29"/>
        <v>1500</v>
      </c>
      <c r="F96" s="254" cm="1">
        <f t="array" ref="F96">+SUMPRODUCT(('Budget original'!$A$8:$A$501=$A96)*('Budget original'!$C$3:$AO$3=F$2),'Budget original'!$C$8:$AO$501)</f>
        <v>45000</v>
      </c>
      <c r="G96" s="1077"/>
      <c r="H96" s="254"/>
      <c r="I96" s="254"/>
      <c r="J96" s="1077">
        <f>-SUMIFS(BV_Data_An_Cour!$P:$P,BV_Data_An_Cour!$U:$U,$B96,BV_Data_An_Cour!$V:$V,$C96,BV_Data_An_Cour!$W:$W,J$2)</f>
        <v>7</v>
      </c>
      <c r="K96" s="254">
        <f t="shared" ref="K96" si="34">IF(J96=0,0,L96/J96)</f>
        <v>2353.2999999999988</v>
      </c>
      <c r="L96" s="952">
        <f>-SUMIFS(BV_Data_An_Cour!$P:$P,BV_Data_An_Cour!$U:$U,$B96,BV_Data_An_Cour!$V:$V,$C96,BV_Data_An_Cour!$W:$W,$L2)</f>
        <v>16473.099999999991</v>
      </c>
      <c r="M96" s="1077">
        <f>J96-D96</f>
        <v>-23</v>
      </c>
      <c r="N96" s="952">
        <f>L96-F96</f>
        <v>-28526.900000000009</v>
      </c>
      <c r="O96" s="1077" cm="1">
        <f t="array" ref="O96">+SUMPRODUCT(('Réel 2024'!$A$8:$A$501=$A96)*('Réel 2024'!$C$3:$AO$3=O$2),'Réel 2024'!$C$8:$AO$501)</f>
        <v>0</v>
      </c>
      <c r="P96" s="254">
        <f t="shared" si="31"/>
        <v>0</v>
      </c>
      <c r="Q96" s="952" cm="1">
        <f t="array" ref="Q96">+SUMPRODUCT(('Réel 2024'!$A$8:$A$501=$A96)*('Réel 2024'!$C$3:$AO$3=Q$2),'Réel 2024'!$C$8:$AO$501)</f>
        <v>0</v>
      </c>
      <c r="R96" s="1077">
        <f>J96-O96</f>
        <v>7</v>
      </c>
      <c r="S96" s="952">
        <f t="shared" ref="S96" si="35">L96-Q96</f>
        <v>16473.099999999991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214</v>
      </c>
      <c r="E97" s="254">
        <f t="shared" si="29"/>
        <v>1449.5327102803737</v>
      </c>
      <c r="F97" s="261">
        <f>+F94+F95+F96</f>
        <v>310200</v>
      </c>
      <c r="G97" s="262"/>
      <c r="H97" s="260"/>
      <c r="I97" s="261"/>
      <c r="J97" s="262">
        <f>+J94+J95+J96</f>
        <v>189</v>
      </c>
      <c r="K97" s="260">
        <f>IF(J97&lt;=0,0,L97/J97)</f>
        <v>1372.6969312169329</v>
      </c>
      <c r="L97" s="261">
        <f>+L94+L95+L96</f>
        <v>259439.72000000032</v>
      </c>
      <c r="M97" s="262">
        <f>J97-D97</f>
        <v>-25</v>
      </c>
      <c r="N97" s="261">
        <f>L97-F97</f>
        <v>-50760.279999999679</v>
      </c>
      <c r="O97" s="262">
        <f>+O95+O94+O96</f>
        <v>187</v>
      </c>
      <c r="P97" s="260">
        <f t="shared" si="31"/>
        <v>700.88625668449095</v>
      </c>
      <c r="Q97" s="261">
        <f>+Q94+Q95+Q96</f>
        <v>131065.72999999981</v>
      </c>
      <c r="R97" s="262">
        <f>R94+R95</f>
        <v>-5</v>
      </c>
      <c r="S97" s="261">
        <f>S94+S95</f>
        <v>111900.89000000051</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-0.11682242990654206</v>
      </c>
      <c r="N98" s="265">
        <f>N97/F97</f>
        <v>-0.16363726627981842</v>
      </c>
      <c r="O98" s="253"/>
      <c r="P98" s="41">
        <f t="shared" si="31"/>
        <v>0</v>
      </c>
      <c r="Q98" s="263"/>
      <c r="R98" s="264">
        <f>R97/O97</f>
        <v>-2.6737967914438502E-2</v>
      </c>
      <c r="S98" s="265">
        <f>IF(Q97=0,0,(S97/Q97))</f>
        <v>0.85377687973813343</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2024'!$A$8:$A$501=$A99)*('Réel 2024'!$C$3:$AO$3=O$2),'Réel 2024'!$C$8:$AO$501)</f>
        <v>0</v>
      </c>
      <c r="P99" s="254">
        <f t="shared" si="31"/>
        <v>0</v>
      </c>
      <c r="Q99" s="256" cm="1">
        <f t="array" ref="Q99">+SUMPRODUCT(('Réel 2024'!$A$8:$A$501=$A99)*('Réel 2024'!$C$3:$AO$3=Q$2),'Réel 2024'!$C$8:$AO$501)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230</v>
      </c>
      <c r="E100" s="254">
        <f t="shared" si="29"/>
        <v>400</v>
      </c>
      <c r="F100" s="254" cm="1">
        <f t="array" ref="F100">+SUMPRODUCT(('Budget original'!$A$8:$A$501=$A100)*('Budget original'!$C$3:$AO$3=F$2),'Budget original'!$C$8:$AO$501)</f>
        <v>92000</v>
      </c>
      <c r="G100" s="254"/>
      <c r="H100" s="254"/>
      <c r="I100" s="254"/>
      <c r="J100" s="255">
        <f>-SUMIFS(BV_Data_An_Cour!$P:$P,BV_Data_An_Cour!$U:$U,$B100,BV_Data_An_Cour!$V:$V,$C100,BV_Data_An_Cour!$W:$W,J$2)</f>
        <v>179</v>
      </c>
      <c r="K100" s="254">
        <f t="shared" si="36"/>
        <v>835.81061452514018</v>
      </c>
      <c r="L100" s="256">
        <f>-SUMIFS(BV_Data_An_Cour!$P:$P,BV_Data_An_Cour!$U:$U,$B100,BV_Data_An_Cour!$V:$V,$C100,BV_Data_An_Cour!$W:$W,L$2)</f>
        <v>149610.10000000009</v>
      </c>
      <c r="M100" s="255">
        <f>J100-D100</f>
        <v>-51</v>
      </c>
      <c r="N100" s="256">
        <f>L100-F100</f>
        <v>57610.100000000093</v>
      </c>
      <c r="O100" s="255" cm="1">
        <f t="array" ref="O100">+SUMPRODUCT(('Réel 2024'!$A$8:$A$501=$A100)*('Réel 2024'!$C$3:$AO$3=O$2),'Réel 2024'!$C$8:$AO$501)</f>
        <v>256</v>
      </c>
      <c r="P100" s="254">
        <f t="shared" si="31"/>
        <v>-108.27285156250008</v>
      </c>
      <c r="Q100" s="256" cm="1">
        <f t="array" ref="Q100">+SUMPRODUCT(('Réel 2024'!$A$8:$A$501=$A100)*('Réel 2024'!$C$3:$AO$3=Q$2),'Réel 2024'!$C$8:$AO$501)</f>
        <v>-27717.85000000002</v>
      </c>
      <c r="R100" s="255">
        <f t="shared" si="37"/>
        <v>-77</v>
      </c>
      <c r="S100" s="256">
        <f t="shared" si="38"/>
        <v>177327.95000000013</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128400</v>
      </c>
      <c r="G102" s="255"/>
      <c r="H102" s="254"/>
      <c r="I102" s="254"/>
      <c r="J102" s="255"/>
      <c r="K102" s="254">
        <f>IF(J97=0,0,L102/J97)</f>
        <v>359.94656084656083</v>
      </c>
      <c r="L102" s="256">
        <f>-SUMIFS(BV_Data_An_Cour!$P:$P,BV_Data_An_Cour!$U:$U,$B102,BV_Data_An_Cour!$V:$V,$C102,BV_Data_An_Cour!$W:$W,$L2)</f>
        <v>68029.899999999994</v>
      </c>
      <c r="M102" s="255"/>
      <c r="N102" s="256">
        <f>L102-F102</f>
        <v>-60370.100000000006</v>
      </c>
      <c r="O102" s="255" cm="1">
        <f t="array" ref="O102">+SUMPRODUCT(('Réel 2024'!$A$8:$A$501=$A102)*('Réel 2024'!$C$3:$AO$3=O$2),'Réel 2024'!$C$8:$AO$501)</f>
        <v>0</v>
      </c>
      <c r="P102" s="254">
        <f t="shared" ref="P102:P105" si="40">IF(O102=0,0,Q102/O102)</f>
        <v>0</v>
      </c>
      <c r="Q102" s="256" cm="1">
        <f t="array" ref="Q102">+SUMPRODUCT(('Réel 2024'!$A$8:$A$501=$A102)*('Réel 2024'!$C$3:$AO$3=Q$2),'Réel 2024'!$C$8:$AO$501)</f>
        <v>42453.51</v>
      </c>
      <c r="R102" s="255">
        <f t="shared" ref="R102:R104" si="41">O102-K102</f>
        <v>-359.94656084656083</v>
      </c>
      <c r="S102" s="256">
        <f t="shared" ref="S102:S105" si="42">L102-Q102</f>
        <v>25576.389999999992</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267500</v>
      </c>
      <c r="G103" s="255"/>
      <c r="H103" s="254"/>
      <c r="I103" s="254"/>
      <c r="J103" s="255"/>
      <c r="K103" s="254">
        <f>IF(J97=0,0,L103/J97)</f>
        <v>1581.9950793650794</v>
      </c>
      <c r="L103" s="256">
        <f>-SUMIFS(BV_Data_An_Cour!$P:$P,BV_Data_An_Cour!$U:$U,$B103,BV_Data_An_Cour!$V:$V,$C103,BV_Data_An_Cour!$W:$W,$L2)</f>
        <v>298997.07</v>
      </c>
      <c r="M103" s="255"/>
      <c r="N103" s="256">
        <f>L103-F103</f>
        <v>31497.070000000007</v>
      </c>
      <c r="O103" s="255" cm="1">
        <f t="array" ref="O103">+SUMPRODUCT(('Réel 2024'!$A$8:$A$501=$A103)*('Réel 2024'!$C$3:$AO$3=O$2),'Réel 2024'!$C$8:$AO$501)</f>
        <v>0</v>
      </c>
      <c r="P103" s="254">
        <f t="shared" si="40"/>
        <v>0</v>
      </c>
      <c r="Q103" s="256" cm="1">
        <f t="array" ref="Q103">+SUMPRODUCT(('Réel 2024'!$A$8:$A$501=$A103)*('Réel 2024'!$C$3:$AO$3=Q$2),'Réel 2024'!$C$8:$AO$501)</f>
        <v>254695.20999999982</v>
      </c>
      <c r="R103" s="255">
        <f t="shared" si="41"/>
        <v>-1581.9950793650794</v>
      </c>
      <c r="S103" s="256">
        <f t="shared" si="42"/>
        <v>44301.86000000019</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10700</v>
      </c>
      <c r="G104" s="255"/>
      <c r="H104" s="250"/>
      <c r="I104" s="254"/>
      <c r="J104" s="255"/>
      <c r="K104" s="250">
        <f>IF(J97=0,0,L104/J97)</f>
        <v>37.285238095238093</v>
      </c>
      <c r="L104" s="256">
        <f>-SUMIFS(BV_Data_An_Cour!$P:$P,BV_Data_An_Cour!$U:$U,$B104,BV_Data_An_Cour!$V:$V,$C104,BV_Data_An_Cour!$W:$W,$L$2)</f>
        <v>7046.91</v>
      </c>
      <c r="M104" s="267"/>
      <c r="N104" s="256">
        <f>L104-F104</f>
        <v>-3653.09</v>
      </c>
      <c r="O104" s="255" cm="1">
        <f t="array" ref="O104">+SUMPRODUCT(('Réel 2024'!$A$8:$A$501=$A104)*('Réel 2024'!$C$3:$AO$3=O$2),'Réel 2024'!$C$8:$AO$501)</f>
        <v>0</v>
      </c>
      <c r="P104" s="250">
        <f t="shared" si="40"/>
        <v>0</v>
      </c>
      <c r="Q104" s="256" cm="1">
        <f t="array" ref="Q104">+SUMPRODUCT(('Réel 2024'!$A$8:$A$501=$A104)*('Réel 2024'!$C$3:$AO$3=Q$2),'Réel 2024'!$C$8:$AO$501)</f>
        <v>4554.47</v>
      </c>
      <c r="R104" s="255">
        <f t="shared" si="41"/>
        <v>-37.285238095238093</v>
      </c>
      <c r="S104" s="256">
        <f t="shared" si="42"/>
        <v>2492.4399999999996</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214</v>
      </c>
      <c r="E105" s="254">
        <f t="shared" si="39"/>
        <v>1900</v>
      </c>
      <c r="F105" s="261">
        <f>F102+F103+F104</f>
        <v>406600</v>
      </c>
      <c r="G105" s="262"/>
      <c r="H105" s="260"/>
      <c r="I105" s="261"/>
      <c r="J105" s="262">
        <f>J97</f>
        <v>189</v>
      </c>
      <c r="K105" s="260">
        <f>IF(J105&lt;=0,0,L105/J105)</f>
        <v>1979.226878306878</v>
      </c>
      <c r="L105" s="261">
        <f>L102+L103+L104</f>
        <v>374073.87999999995</v>
      </c>
      <c r="M105" s="255">
        <f>J105-D105</f>
        <v>-25</v>
      </c>
      <c r="N105" s="261">
        <f>L105-F105</f>
        <v>-32526.120000000054</v>
      </c>
      <c r="O105" s="262">
        <f>O97</f>
        <v>187</v>
      </c>
      <c r="P105" s="260">
        <f t="shared" si="40"/>
        <v>1613.3860427807474</v>
      </c>
      <c r="Q105" s="261">
        <f>Q102+Q103+Q104</f>
        <v>301703.18999999977</v>
      </c>
      <c r="R105" s="273"/>
      <c r="S105" s="261">
        <f t="shared" si="42"/>
        <v>72370.690000000177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-7.9995376291195408E-2</v>
      </c>
      <c r="O106" s="253"/>
      <c r="P106" s="41"/>
      <c r="Q106" s="276"/>
      <c r="R106" s="277"/>
      <c r="S106" s="265">
        <f>IF(Q105=0,0,(S105/Q105))</f>
        <v>0.23987379782096513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444</v>
      </c>
      <c r="E108" s="350">
        <f>IF(D108&lt;=0,0,F108/D108)</f>
        <v>1821.6216216216217</v>
      </c>
      <c r="F108" s="281">
        <f>F97+F105+F100</f>
        <v>808800</v>
      </c>
      <c r="G108" s="282"/>
      <c r="H108" s="350"/>
      <c r="I108" s="281"/>
      <c r="J108" s="282">
        <f>J97+J100</f>
        <v>368</v>
      </c>
      <c r="K108" s="350">
        <f>IF(J108&lt;=0,0,L108/J108)</f>
        <v>2128.053532608697</v>
      </c>
      <c r="L108" s="281">
        <f>L97+L105+L100</f>
        <v>783123.70000000042</v>
      </c>
      <c r="M108" s="282">
        <f>J108-D108</f>
        <v>-76</v>
      </c>
      <c r="N108" s="281">
        <f>L108-F108</f>
        <v>-25676.299999999581</v>
      </c>
      <c r="O108" s="282">
        <f>O97+O100</f>
        <v>443</v>
      </c>
      <c r="P108" s="350">
        <f>IF(O108&lt;=0,0,Q108/O108)</f>
        <v>914.33650112866712</v>
      </c>
      <c r="Q108" s="281">
        <f>Q97+Q105+Q100</f>
        <v>405051.06999999954</v>
      </c>
      <c r="R108" s="282">
        <f>J108-O108</f>
        <v>-75</v>
      </c>
      <c r="S108" s="281">
        <f>L108-Q108</f>
        <v>378072.63000000088</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0.96825383283877398</v>
      </c>
      <c r="M109" s="286">
        <f>M108/D108</f>
        <v>-0.17117117117117117</v>
      </c>
      <c r="N109" s="287">
        <f>N108/F108</f>
        <v>-3.174616716122599E-2</v>
      </c>
      <c r="O109" s="283"/>
      <c r="P109" s="284"/>
      <c r="Q109" s="285"/>
      <c r="R109" s="286">
        <f>O108/R108</f>
        <v>-5.9066666666666663</v>
      </c>
      <c r="S109" s="352">
        <f>IF(Q108=0,0,(S108/Q108))</f>
        <v>0.93339496671370681</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0.35015927468757663</v>
      </c>
      <c r="E112" s="291">
        <f t="shared" ref="E112:E121" si="43">F112/D$97</f>
        <v>507.56732246769286</v>
      </c>
      <c r="F112" s="254" cm="1">
        <f t="array" ref="F112">+SUMPRODUCT(('Budget original'!$A$8:$A$501=$A112)*('Budget original'!$C$3:$AO$3=F$2),'Budget original'!$C$8:$AO$501)</f>
        <v>108619.40700808627</v>
      </c>
      <c r="G112" s="298"/>
      <c r="H112" s="291"/>
      <c r="I112" s="254"/>
      <c r="J112" s="292">
        <f>+L112/L97</f>
        <v>0.35517842063659288</v>
      </c>
      <c r="K112" s="291">
        <f>IF($J$97=0,0,L112/(J$94+J$95+J96))</f>
        <v>487.55232804232804</v>
      </c>
      <c r="L112" s="256">
        <f>SUMIFS(BV_Data_An_Cour!$P:$P,BV_Data_An_Cour!$U:$U,$B112,BV_Data_An_Cour!$V:$V,$C112,BV_Data_An_Cour!$W:$W,$L$2)</f>
        <v>92147.39</v>
      </c>
      <c r="M112" s="253"/>
      <c r="N112" s="276">
        <f t="shared" ref="N112:N153" si="44">L112-F112</f>
        <v>-16472.017008086274</v>
      </c>
      <c r="O112" s="253">
        <f>Q112/Q97</f>
        <v>0.77790487261620678</v>
      </c>
      <c r="P112" s="291">
        <f t="shared" ref="P112:P121" si="45">Q112/O$97</f>
        <v>545.22283422459896</v>
      </c>
      <c r="Q112" s="256" cm="1">
        <f t="array" ref="Q112">+SUMPRODUCT(('Réel 2024'!$A$8:$A$501=$A112)*('Réel 2024'!$C$3:$AO$3=Q$2),'Réel 2024'!$C$8:$AO$501)</f>
        <v>101956.67</v>
      </c>
      <c r="R112" s="253"/>
      <c r="S112" s="276">
        <f t="shared" ref="S112:S122" si="46">L112-Q112</f>
        <v>-9809.2799999999988</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0.26956906077348064</v>
      </c>
      <c r="E113" s="294">
        <f t="shared" si="43"/>
        <v>570</v>
      </c>
      <c r="F113" s="248" cm="1">
        <f t="array" ref="F113">+SUMPRODUCT(('Budget original'!$A$8:$A$501=$A113)*('Budget original'!$C$3:$AO$3=F$2),'Budget original'!$C$8:$AO$501)</f>
        <v>121980</v>
      </c>
      <c r="G113" s="300"/>
      <c r="H113" s="294"/>
      <c r="I113" s="248"/>
      <c r="J113" s="295">
        <f>L113/L105</f>
        <v>0.2930515758010156</v>
      </c>
      <c r="K113" s="294">
        <f>IF($J$97=0,0,L113/(J$94+J$95+J96))</f>
        <v>580.01555555555558</v>
      </c>
      <c r="L113" s="256">
        <f>SUMIFS(BV_Data_An_Cour!$P:$P,BV_Data_An_Cour!$U:$U,$B113,BV_Data_An_Cour!$V:$V,$C113,BV_Data_An_Cour!$W:$W,$L$2)</f>
        <v>109622.94</v>
      </c>
      <c r="M113" s="246"/>
      <c r="N113" s="296">
        <f t="shared" si="44"/>
        <v>-12357.059999999998</v>
      </c>
      <c r="O113" s="246">
        <f>Q113/(Q105+Q19)</f>
        <v>0.26183340339486089</v>
      </c>
      <c r="P113" s="294">
        <f t="shared" si="45"/>
        <v>490.43155080213904</v>
      </c>
      <c r="Q113" s="256" cm="1">
        <f t="array" ref="Q113">+SUMPRODUCT(('Réel 2024'!$A$8:$A$501=$A113)*('Réel 2024'!$C$3:$AO$3=Q$2),'Réel 2024'!$C$8:$AO$501)</f>
        <v>91710.7</v>
      </c>
      <c r="R113" s="246"/>
      <c r="S113" s="296">
        <f t="shared" si="46"/>
        <v>17912.240000000005</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8</v>
      </c>
      <c r="F114" s="254" cm="1">
        <f t="array" ref="F114">+SUMPRODUCT(('Budget original'!$A$8:$A$501=$A114)*('Budget original'!$C$3:$AO$3=F$2),'Budget original'!$C$8:$AO$501)</f>
        <v>1712</v>
      </c>
      <c r="G114" s="298"/>
      <c r="H114" s="291"/>
      <c r="I114" s="254"/>
      <c r="J114" s="253"/>
      <c r="K114" s="291">
        <f>IF($J$97=0,0,L114/(J$94+J$95+J96))</f>
        <v>-56.405026455026452</v>
      </c>
      <c r="L114" s="272">
        <f>SUMIFS(BV_Data_An_Cour!$P:$P,BV_Data_An_Cour!$U:$U,$B114,BV_Data_An_Cour!$V:$V,$C114,BV_Data_An_Cour!$W:$W,$L$2)</f>
        <v>-10660.55</v>
      </c>
      <c r="M114" s="253"/>
      <c r="N114" s="276">
        <f t="shared" si="44"/>
        <v>-12372.55</v>
      </c>
      <c r="O114" s="253"/>
      <c r="P114" s="291">
        <f t="shared" si="45"/>
        <v>14.04139037433155</v>
      </c>
      <c r="Q114" s="272" cm="1">
        <f t="array" ref="Q114">+SUMPRODUCT(('Réel 2024'!$A$8:$A$501=$A114)*('Réel 2024'!$C$3:$AO$3=Q$2),'Réel 2024'!$C$8:$AO$501)</f>
        <v>2625.74</v>
      </c>
      <c r="R114" s="253"/>
      <c r="S114" s="276">
        <f t="shared" si="46"/>
        <v>-13286.289999999999</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45</v>
      </c>
      <c r="F115" s="254" cm="1">
        <f t="array" ref="F115">+SUMPRODUCT(('Budget original'!$A$8:$A$501=$A115)*('Budget original'!$C$3:$AO$3=F$2),'Budget original'!$C$8:$AO$501)</f>
        <v>9630</v>
      </c>
      <c r="G115" s="298"/>
      <c r="H115" s="291"/>
      <c r="I115" s="254"/>
      <c r="J115" s="253"/>
      <c r="K115" s="291">
        <f>IF($J$97=0,0,L115/(J$94+J$95+J96))</f>
        <v>70.943068783068782</v>
      </c>
      <c r="L115" s="256">
        <f>SUMIFS(BV_Data_An_Cour!$P:$P,BV_Data_An_Cour!$U:$U,$B115,BV_Data_An_Cour!$V:$V,$C115,BV_Data_An_Cour!$W:$W,$L$2)</f>
        <v>13408.24</v>
      </c>
      <c r="M115" s="253"/>
      <c r="N115" s="276">
        <f t="shared" si="44"/>
        <v>3778.24</v>
      </c>
      <c r="O115" s="253"/>
      <c r="P115" s="291">
        <f t="shared" si="45"/>
        <v>53.344652406417119</v>
      </c>
      <c r="Q115" s="256" cm="1">
        <f t="array" ref="Q115">+SUMPRODUCT(('Réel 2024'!$A$8:$A$501=$A115)*('Réel 2024'!$C$3:$AO$3=Q$2),'Réel 2024'!$C$8:$AO$501)</f>
        <v>9975.4500000000007</v>
      </c>
      <c r="R115" s="253"/>
      <c r="S115" s="276">
        <f t="shared" si="46"/>
        <v>3432.7899999999991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160</v>
      </c>
      <c r="F116" s="248" cm="1">
        <f t="array" ref="F116">+SUMPRODUCT(('Budget original'!$A$8:$A$501=$A116)*('Budget original'!$C$3:$AO$3=F$2),'Budget original'!$C$8:$AO$501)</f>
        <v>34240</v>
      </c>
      <c r="G116" s="300"/>
      <c r="H116" s="294"/>
      <c r="I116" s="248"/>
      <c r="J116" s="246"/>
      <c r="K116" s="294">
        <f>IF($J$97=0,0,L116/(J$94+J$95+J96))</f>
        <v>174.50873015873017</v>
      </c>
      <c r="L116" s="248">
        <f>SUMIFS(BV_Data_An_Cour!$P:$P,BV_Data_An_Cour!$U:$U,$B116,BV_Data_An_Cour!$V:$V,$C116,BV_Data_An_Cour!$W:$W,$L$2)</f>
        <v>32982.15</v>
      </c>
      <c r="M116" s="246"/>
      <c r="N116" s="296">
        <f t="shared" si="44"/>
        <v>-1257.8499999999985</v>
      </c>
      <c r="O116" s="246"/>
      <c r="P116" s="294">
        <f t="shared" si="45"/>
        <v>159.98855614973263</v>
      </c>
      <c r="Q116" s="248" cm="1">
        <f t="array" ref="Q116">+SUMPRODUCT(('Réel 2024'!$A$8:$A$501=$A116)*('Réel 2024'!$C$3:$AO$3=Q$2),'Réel 2024'!$C$8:$AO$501)</f>
        <v>29917.86</v>
      </c>
      <c r="R116" s="246"/>
      <c r="S116" s="296">
        <f t="shared" si="46"/>
        <v>3064.2900000000009</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399.87850467289718</v>
      </c>
      <c r="F117" s="254" cm="1">
        <f t="array" ref="F117">+SUMPRODUCT(('Budget original'!$A$8:$A$501=$A117)*('Budget original'!$C$3:$AO$3=F$2),'Budget original'!$C$8:$AO$501)</f>
        <v>85574</v>
      </c>
      <c r="G117" s="298"/>
      <c r="H117" s="291"/>
      <c r="I117" s="254"/>
      <c r="J117" s="253"/>
      <c r="K117" s="291">
        <f>IF($J$97=0,0,L117/(J$94+J$95+J96))</f>
        <v>376.55476190476196</v>
      </c>
      <c r="L117" s="256">
        <f>SUMIFS(BV_Data_An_Cour!$P:$P,BV_Data_An_Cour!$U:$U,$B117,BV_Data_An_Cour!$V:$V,$C117,BV_Data_An_Cour!$W:$W,$L$2)</f>
        <v>71168.850000000006</v>
      </c>
      <c r="M117" s="253"/>
      <c r="N117" s="276">
        <f t="shared" si="44"/>
        <v>-14405.149999999994</v>
      </c>
      <c r="O117" s="253"/>
      <c r="P117" s="291">
        <f t="shared" si="45"/>
        <v>437.30705882352942</v>
      </c>
      <c r="Q117" s="256" cm="1">
        <f t="array" ref="Q117">+SUMPRODUCT(('Réel 2024'!$A$8:$A$501=$A117)*('Réel 2024'!$C$3:$AO$3=Q$2),'Réel 2024'!$C$8:$AO$501)</f>
        <v>81776.42</v>
      </c>
      <c r="R117" s="253"/>
      <c r="S117" s="276">
        <f t="shared" si="46"/>
        <v>-10607.569999999992</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243.73741626600403</v>
      </c>
      <c r="F118" s="254" cm="1">
        <f t="array" ref="F118">+SUMPRODUCT(('Budget original'!$A$8:$A$501=$A118)*('Budget original'!$C$3:$AO$3=F$2),'Budget original'!$C$8:$AO$501)</f>
        <v>52159.80708092486</v>
      </c>
      <c r="G118" s="298"/>
      <c r="H118" s="291"/>
      <c r="I118" s="254"/>
      <c r="J118" s="253"/>
      <c r="K118" s="291">
        <f>IF($J$97=0,0,L118/(J$94+J$95+J96))</f>
        <v>121.06920634920635</v>
      </c>
      <c r="L118" s="952">
        <f>SUMIFS(BV_Data_An_Cour!$P:$P,BV_Data_An_Cour!$U:$U,$B118,BV_Data_An_Cour!$V:$V,$C118,BV_Data_An_Cour!$W:$W,$L$2)</f>
        <v>22882.080000000002</v>
      </c>
      <c r="M118" s="987"/>
      <c r="N118" s="961">
        <f t="shared" si="44"/>
        <v>-29277.727080924858</v>
      </c>
      <c r="O118" s="253"/>
      <c r="P118" s="291">
        <f t="shared" si="45"/>
        <v>249.38818181818181</v>
      </c>
      <c r="Q118" s="256" cm="1">
        <f t="array" ref="Q118">+SUMPRODUCT(('Réel 2024'!$A$8:$A$501=$A118)*('Réel 2024'!$C$3:$AO$3=Q$2),'Réel 2024'!$C$8:$AO$501)</f>
        <v>46635.59</v>
      </c>
      <c r="R118" s="253"/>
      <c r="S118" s="276">
        <f t="shared" si="46"/>
        <v>-23753.509999999995</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2024'!$A$8:$A$501=$A119)*('Réel 2024'!$C$3:$AO$3=Q$2),'Réel 2024'!$C$8:$AO$501)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2024'!$A$8:$A$501=$A120)*('Réel 2024'!$C$3:$AO$3=Q$2),'Réel 2024'!$C$8:$AO$501)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2024'!$A$8:$A$501=$A121)*('Réel 2024'!$C$3:$AO$3=Q$2),'Réel 2024'!$C$8:$AO$501)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0.51176460693497916</v>
      </c>
      <c r="F122" s="307">
        <f>SUM(F112:F121)</f>
        <v>413915.21408901113</v>
      </c>
      <c r="G122" s="308"/>
      <c r="H122" s="306"/>
      <c r="I122" s="307"/>
      <c r="J122" s="308" t="s">
        <v>119</v>
      </c>
      <c r="K122" s="306">
        <f>L122/L$108</f>
        <v>0.42337002442909066</v>
      </c>
      <c r="L122" s="307">
        <f>SUM(L112:L121)</f>
        <v>331551.10000000003</v>
      </c>
      <c r="M122" s="311"/>
      <c r="N122" s="307">
        <f t="shared" si="44"/>
        <v>-82364.114089011098</v>
      </c>
      <c r="O122" s="308" t="s">
        <v>119</v>
      </c>
      <c r="P122" s="306">
        <f>Q122/Q$108</f>
        <v>0.90012953181434718</v>
      </c>
      <c r="Q122" s="307">
        <f>SUM(Q112:Q121)</f>
        <v>364598.42999999993</v>
      </c>
      <c r="R122" s="311"/>
      <c r="S122" s="307">
        <f t="shared" si="46"/>
        <v>-33047.3299999999</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66932.57051282053</v>
      </c>
      <c r="G123" s="253"/>
      <c r="H123" s="41"/>
      <c r="I123" s="254"/>
      <c r="J123" s="253"/>
      <c r="K123" s="41"/>
      <c r="L123" s="256">
        <f>SUMIFS(BV_Data_An_Cour!$P:$P,BV_Data_An_Cour!$U:$U,$B123,BV_Data_An_Cour!$V:$V,$C123,BV_Data_An_Cour!$W:$W,$L$2)</f>
        <v>65902.25</v>
      </c>
      <c r="M123" s="253"/>
      <c r="N123" s="276">
        <f t="shared" si="44"/>
        <v>-1030.32051282053</v>
      </c>
      <c r="O123" s="253"/>
      <c r="P123" s="41"/>
      <c r="Q123" s="256" cm="1">
        <f t="array" ref="Q123">+SUMPRODUCT(('Réel 2024'!$A$8:$A$501=$A123)*('Réel 2024'!$C$3:$AO$3=Q$2),'Réel 2024'!$C$8:$AO$501)</f>
        <v>78560.149999999994</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63634.938461538462</v>
      </c>
      <c r="G124" s="298"/>
      <c r="H124" s="41"/>
      <c r="I124" s="248"/>
      <c r="J124" s="253"/>
      <c r="K124" s="41"/>
      <c r="L124" s="248">
        <f>SUMIFS(BV_Data_An_Cour!$P:$P,BV_Data_An_Cour!$U:$U,$B124,BV_Data_An_Cour!$V:$V,$C124,BV_Data_An_Cour!$W:$W,$L$2)</f>
        <v>24783.42</v>
      </c>
      <c r="M124" s="253"/>
      <c r="N124" s="276">
        <f t="shared" si="44"/>
        <v>-38851.518461538464</v>
      </c>
      <c r="O124" s="253"/>
      <c r="P124" s="41"/>
      <c r="Q124" s="248" cm="1">
        <f t="array" ref="Q124">+SUMPRODUCT(('Réel 2024'!$A$8:$A$501=$A124)*('Réel 2024'!$C$3:$AO$3=Q$2),'Réel 2024'!$C$8:$AO$501)</f>
        <v>12776.23</v>
      </c>
      <c r="R124" s="253"/>
      <c r="S124" s="276">
        <f t="shared" ref="S124:S153" si="48">L124-Q124</f>
        <v>12007.189999999999</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25086.692307692312</v>
      </c>
      <c r="G125" s="316"/>
      <c r="H125" s="315"/>
      <c r="I125" s="254"/>
      <c r="J125" s="241"/>
      <c r="K125" s="315"/>
      <c r="L125" s="256">
        <f>SUMIFS(BV_Data_An_Cour!$P:$P,BV_Data_An_Cour!$U:$U,$B125,BV_Data_An_Cour!$V:$V,$C125,BV_Data_An_Cour!$W:$W,$L$2)</f>
        <v>35619.1</v>
      </c>
      <c r="M125" s="241"/>
      <c r="N125" s="317">
        <f t="shared" si="44"/>
        <v>10532.407692307686</v>
      </c>
      <c r="O125" s="241"/>
      <c r="P125" s="315"/>
      <c r="Q125" s="256" cm="1">
        <f t="array" ref="Q125">+SUMPRODUCT(('Réel 2024'!$A$8:$A$501=$A125)*('Réel 2024'!$C$3:$AO$3=Q$2),'Réel 2024'!$C$8:$AO$501)</f>
        <v>42646.720000000001</v>
      </c>
      <c r="R125" s="241"/>
      <c r="S125" s="317">
        <f t="shared" si="48"/>
        <v>-7027.6200000000026</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2024'!$A$8:$A$501=$A126)*('Réel 2024'!$C$3:$AO$3=Q$2),'Réel 2024'!$C$8:$AO$501)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2024'!$A$8:$A$501=$A127)*('Réel 2024'!$C$3:$AO$3=Q$2),'Réel 2024'!$C$8:$AO$501)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2024'!$A$8:$A$501=$A128)*('Réel 2024'!$C$3:$AO$3=Q$2),'Réel 2024'!$C$8:$AO$501)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2024'!$A$8:$A$501=$A129)*('Réel 2024'!$C$3:$AO$3=Q$2),'Réel 2024'!$C$8:$AO$501)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57561.386326282052</v>
      </c>
      <c r="G130" s="298"/>
      <c r="H130" s="41"/>
      <c r="I130" s="254"/>
      <c r="J130" s="253"/>
      <c r="K130" s="41"/>
      <c r="L130" s="256">
        <f>SUMIFS(BV_Data_An_Cour!$P:$P,BV_Data_An_Cour!$U:$U,$B130,BV_Data_An_Cour!$V:$V,$C130,BV_Data_An_Cour!$W:$W,$L$2)</f>
        <v>55702.400000000001</v>
      </c>
      <c r="M130" s="253"/>
      <c r="N130" s="276">
        <f t="shared" si="44"/>
        <v>-1858.9863262820509</v>
      </c>
      <c r="O130" s="253"/>
      <c r="P130" s="41"/>
      <c r="Q130" s="256" cm="1">
        <f t="array" ref="Q130">+SUMPRODUCT(('Réel 2024'!$A$8:$A$501=$A130)*('Réel 2024'!$C$3:$AO$3=Q$2),'Réel 2024'!$C$8:$AO$501)</f>
        <v>47098.810000000005</v>
      </c>
      <c r="R130" s="253"/>
      <c r="S130" s="276">
        <f t="shared" si="48"/>
        <v>8603.5899999999965</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69986.53139230769</v>
      </c>
      <c r="G131" s="316"/>
      <c r="H131" s="315"/>
      <c r="I131" s="271"/>
      <c r="J131" s="241"/>
      <c r="K131" s="315"/>
      <c r="L131" s="272">
        <f>SUMIFS(BV_Data_An_Cour!$P:$P,BV_Data_An_Cour!$U:$U,$B131,BV_Data_An_Cour!$V:$V,$C131,BV_Data_An_Cour!$W:$W,$L$2)</f>
        <v>64775.39</v>
      </c>
      <c r="M131" s="241"/>
      <c r="N131" s="317">
        <f t="shared" si="44"/>
        <v>-5211.1413923076907</v>
      </c>
      <c r="O131" s="241"/>
      <c r="P131" s="315"/>
      <c r="Q131" s="272" cm="1">
        <f t="array" ref="Q131">+SUMPRODUCT(('Réel 2024'!$A$8:$A$501=$A131)*('Réel 2024'!$C$3:$AO$3=Q$2),'Réel 2024'!$C$8:$AO$501)</f>
        <v>44371.679999999993</v>
      </c>
      <c r="R131" s="241"/>
      <c r="S131" s="317">
        <f t="shared" si="48"/>
        <v>20403.710000000006</v>
      </c>
      <c r="T131" s="41"/>
      <c r="U131" s="254">
        <f>L131-Print_Mois!L131</f>
        <v>56359.7</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36058.278130384613</v>
      </c>
      <c r="G132" s="298"/>
      <c r="H132" s="41"/>
      <c r="I132" s="254"/>
      <c r="J132" s="253"/>
      <c r="K132" s="41"/>
      <c r="L132" s="256">
        <f>SUMIFS(BV_Data_An_Cour!$P:$P,BV_Data_An_Cour!$U:$U,$B132,BV_Data_An_Cour!$V:$V,$C132,BV_Data_An_Cour!$W:$W,$L$2)</f>
        <v>31779.3</v>
      </c>
      <c r="M132" s="253"/>
      <c r="N132" s="276">
        <f t="shared" si="44"/>
        <v>-4278.9781303846139</v>
      </c>
      <c r="O132" s="253"/>
      <c r="P132" s="41"/>
      <c r="Q132" s="256" cm="1">
        <f t="array" ref="Q132">+SUMPRODUCT(('Réel 2024'!$A$8:$A$501=$A132)*('Réel 2024'!$C$3:$AO$3=Q$2),'Réel 2024'!$C$8:$AO$501)</f>
        <v>8224.56</v>
      </c>
      <c r="R132" s="253"/>
      <c r="S132" s="276">
        <f t="shared" si="48"/>
        <v>23554.739999999998</v>
      </c>
      <c r="T132" s="41"/>
      <c r="U132" s="254">
        <f>L132-Print_Mois!L132</f>
        <v>28031.54</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15721.612124358973</v>
      </c>
      <c r="G133" s="298"/>
      <c r="H133" s="41"/>
      <c r="I133" s="254"/>
      <c r="J133" s="253"/>
      <c r="K133" s="41"/>
      <c r="L133" s="256">
        <f>SUMIFS(BV_Data_An_Cour!$P:$P,BV_Data_An_Cour!$U:$U,$B133,BV_Data_An_Cour!$V:$V,$C133,BV_Data_An_Cour!$W:$W,$L$2)</f>
        <v>8669.5400000000009</v>
      </c>
      <c r="M133" s="253"/>
      <c r="N133" s="276">
        <f t="shared" si="44"/>
        <v>-7052.0721243589724</v>
      </c>
      <c r="O133" s="253"/>
      <c r="P133" s="41"/>
      <c r="Q133" s="256" cm="1">
        <f t="array" ref="Q133">+SUMPRODUCT(('Réel 2024'!$A$8:$A$501=$A133)*('Réel 2024'!$C$3:$AO$3=Q$2),'Réel 2024'!$C$8:$AO$501)</f>
        <v>6950.01</v>
      </c>
      <c r="R133" s="253"/>
      <c r="S133" s="276">
        <f t="shared" si="48"/>
        <v>1719.5300000000007</v>
      </c>
      <c r="T133" s="41"/>
      <c r="U133" s="254">
        <f>L133-Print_Mois!L133</f>
        <v>7863.9800000000014</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2024'!$A$8:$A$501=$A134)*('Réel 2024'!$C$3:$AO$3=Q$2),'Réel 2024'!$C$8:$AO$501)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0.41417162370843802</v>
      </c>
      <c r="F135" s="307">
        <f>+SUM(F123:F134)</f>
        <v>334982.00925538468</v>
      </c>
      <c r="G135" s="308"/>
      <c r="H135" s="306"/>
      <c r="I135" s="307"/>
      <c r="J135" s="308" t="s">
        <v>119</v>
      </c>
      <c r="K135" s="306">
        <f>L135/L$108</f>
        <v>0.36677653862346371</v>
      </c>
      <c r="L135" s="307">
        <f>SUM(L123:L134)</f>
        <v>287231.39999999997</v>
      </c>
      <c r="M135" s="355"/>
      <c r="N135" s="320">
        <f t="shared" si="44"/>
        <v>-47750.609255384712</v>
      </c>
      <c r="O135" s="308" t="s">
        <v>119</v>
      </c>
      <c r="P135" s="306">
        <f>Q135/Q$108</f>
        <v>0.59406869360942616</v>
      </c>
      <c r="Q135" s="307">
        <f>+SUM(Q123:Q134)</f>
        <v>240628.15999999997</v>
      </c>
      <c r="R135" s="355"/>
      <c r="S135" s="320">
        <f t="shared" si="48"/>
        <v>46603.239999999991</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2024'!$A$8:$A$501=$A136)*('Réel 2024'!$C$3:$AO$3=Q$2),'Réel 2024'!$C$8:$AO$501)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2024'!$A$8:$A$501=$A137)*('Réel 2024'!$C$3:$AO$3=Q$2),'Réel 2024'!$C$8:$AO$501)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8989.0730222222228</v>
      </c>
      <c r="G138" s="300"/>
      <c r="H138" s="318"/>
      <c r="I138" s="248"/>
      <c r="J138" s="246"/>
      <c r="K138" s="318"/>
      <c r="L138" s="248">
        <f>SUMIFS(BV_Data_An_Cour!$P:$P,BV_Data_An_Cour!$U:$U,$B138,BV_Data_An_Cour!$V:$V,$C138,BV_Data_An_Cour!$W:$W,$L$2)</f>
        <v>14759.94</v>
      </c>
      <c r="M138" s="246"/>
      <c r="N138" s="296">
        <f t="shared" si="44"/>
        <v>5770.8669777777777</v>
      </c>
      <c r="O138" s="246"/>
      <c r="P138" s="318"/>
      <c r="Q138" s="248" cm="1">
        <f t="array" ref="Q138">+SUMPRODUCT(('Réel 2024'!$A$8:$A$501=$A138)*('Réel 2024'!$C$3:$AO$3=Q$2),'Réel 2024'!$C$8:$AO$501)</f>
        <v>4219.3099999999995</v>
      </c>
      <c r="R138" s="246"/>
      <c r="S138" s="296">
        <f t="shared" si="48"/>
        <v>10540.630000000001</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26303.799358853321</v>
      </c>
      <c r="G139" s="298"/>
      <c r="H139" s="41"/>
      <c r="I139" s="254"/>
      <c r="J139" s="253"/>
      <c r="K139" s="41"/>
      <c r="L139" s="256">
        <f>SUMIFS(BV_Data_An_Cour!$P:$P,BV_Data_An_Cour!$U:$U,$B139,BV_Data_An_Cour!$V:$V,$C139,BV_Data_An_Cour!$W:$W,$L$2)</f>
        <v>23923.15</v>
      </c>
      <c r="M139" s="253"/>
      <c r="N139" s="276">
        <f t="shared" si="44"/>
        <v>-2380.6493588533194</v>
      </c>
      <c r="O139" s="253"/>
      <c r="P139" s="41"/>
      <c r="Q139" s="256" cm="1">
        <f t="array" ref="Q139">+SUMPRODUCT(('Réel 2024'!$A$8:$A$501=$A139)*('Réel 2024'!$C$3:$AO$3=Q$2),'Réel 2024'!$C$8:$AO$501)</f>
        <v>25194.440000000002</v>
      </c>
      <c r="R139" s="253"/>
      <c r="S139" s="276">
        <f t="shared" si="48"/>
        <v>-1271.2900000000009</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3889.6917064183472</v>
      </c>
      <c r="G140" s="298"/>
      <c r="H140" s="41"/>
      <c r="I140" s="254"/>
      <c r="J140" s="253"/>
      <c r="K140" s="41"/>
      <c r="L140" s="256">
        <f>SUMIFS(BV_Data_An_Cour!$P:$P,BV_Data_An_Cour!$U:$U,$B140,BV_Data_An_Cour!$V:$V,$C140,BV_Data_An_Cour!$W:$W,$L$2)</f>
        <v>3679.36</v>
      </c>
      <c r="M140" s="253"/>
      <c r="N140" s="276">
        <f t="shared" si="44"/>
        <v>-210.33170641834704</v>
      </c>
      <c r="O140" s="253"/>
      <c r="P140" s="41"/>
      <c r="Q140" s="256" cm="1">
        <f t="array" ref="Q140">+SUMPRODUCT(('Réel 2024'!$A$8:$A$501=$A140)*('Réel 2024'!$C$3:$AO$3=Q$2),'Réel 2024'!$C$8:$AO$501)</f>
        <v>3685.28</v>
      </c>
      <c r="R140" s="253"/>
      <c r="S140" s="276">
        <f t="shared" si="48"/>
        <v>-5.9200000000000728</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9791.9462483756033</v>
      </c>
      <c r="G141" s="300"/>
      <c r="H141" s="318"/>
      <c r="I141" s="248"/>
      <c r="J141" s="246"/>
      <c r="K141" s="318"/>
      <c r="L141" s="248">
        <f>SUMIFS(BV_Data_An_Cour!$P:$P,BV_Data_An_Cour!$U:$U,$B141,BV_Data_An_Cour!$V:$V,$C141,BV_Data_An_Cour!$W:$W,$L$2)</f>
        <v>21242.6</v>
      </c>
      <c r="M141" s="246"/>
      <c r="N141" s="296">
        <f t="shared" si="44"/>
        <v>11450.653751624395</v>
      </c>
      <c r="O141" s="246"/>
      <c r="P141" s="318"/>
      <c r="Q141" s="248" cm="1">
        <f t="array" ref="Q141">+SUMPRODUCT(('Réel 2024'!$A$8:$A$501=$A141)*('Réel 2024'!$C$3:$AO$3=Q$2),'Réel 2024'!$C$8:$AO$501)</f>
        <v>8534.5299999999988</v>
      </c>
      <c r="R141" s="246"/>
      <c r="S141" s="296">
        <f t="shared" si="48"/>
        <v>12708.07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587.19873333333328</v>
      </c>
      <c r="G142" s="298"/>
      <c r="H142" s="41"/>
      <c r="I142" s="254"/>
      <c r="J142" s="253"/>
      <c r="K142" s="41"/>
      <c r="L142" s="256">
        <f>SUMIFS(BV_Data_An_Cour!$P:$P,BV_Data_An_Cour!$U:$U,$B142,BV_Data_An_Cour!$V:$V,$C142,BV_Data_An_Cour!$W:$W,$L$2)</f>
        <v>306.39</v>
      </c>
      <c r="M142" s="253"/>
      <c r="N142" s="276">
        <f t="shared" si="44"/>
        <v>-280.80873333333329</v>
      </c>
      <c r="O142" s="253"/>
      <c r="P142" s="41"/>
      <c r="Q142" s="256" cm="1">
        <f t="array" ref="Q142">+SUMPRODUCT(('Réel 2024'!$A$8:$A$501=$A142)*('Réel 2024'!$C$3:$AO$3=Q$2),'Réel 2024'!$C$8:$AO$501)</f>
        <v>378.81</v>
      </c>
      <c r="R142" s="253"/>
      <c r="S142" s="276">
        <f t="shared" si="48"/>
        <v>-72.420000000000016</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198.33333333333334</v>
      </c>
      <c r="G143" s="298"/>
      <c r="H143" s="41"/>
      <c r="I143" s="254"/>
      <c r="J143" s="253"/>
      <c r="K143" s="41"/>
      <c r="L143" s="256">
        <f>SUMIFS(BV_Data_An_Cour!$P:$P,BV_Data_An_Cour!$U:$U,$B143,BV_Data_An_Cour!$V:$V,$C143,BV_Data_An_Cour!$W:$W,$L$2)</f>
        <v>0</v>
      </c>
      <c r="M143" s="253"/>
      <c r="N143" s="276">
        <f t="shared" si="44"/>
        <v>-198.33333333333334</v>
      </c>
      <c r="O143" s="253"/>
      <c r="P143" s="41"/>
      <c r="Q143" s="256" cm="1">
        <f t="array" ref="Q143">+SUMPRODUCT(('Réel 2024'!$A$8:$A$501=$A143)*('Réel 2024'!$C$3:$AO$3=Q$2),'Réel 2024'!$C$8:$AO$501)</f>
        <v>0</v>
      </c>
      <c r="R143" s="253"/>
      <c r="S143" s="276">
        <f t="shared" si="48"/>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2265.3357816314397</v>
      </c>
      <c r="G144" s="298"/>
      <c r="H144" s="41"/>
      <c r="I144" s="254"/>
      <c r="J144" s="253"/>
      <c r="K144" s="41"/>
      <c r="L144" s="256">
        <f>SUMIFS(BV_Data_An_Cour!$P:$P,BV_Data_An_Cour!$U:$U,$B144,BV_Data_An_Cour!$V:$V,$C144,BV_Data_An_Cour!$W:$W,$L$2)</f>
        <v>2054.12</v>
      </c>
      <c r="M144" s="253"/>
      <c r="N144" s="276">
        <f t="shared" si="44"/>
        <v>-211.21578163143977</v>
      </c>
      <c r="O144" s="253"/>
      <c r="P144" s="41"/>
      <c r="Q144" s="256" cm="1">
        <f t="array" ref="Q144">+SUMPRODUCT(('Réel 2024'!$A$8:$A$501=$A144)*('Réel 2024'!$C$3:$AO$3=Q$2),'Réel 2024'!$C$8:$AO$501)</f>
        <v>1848.6200000000001</v>
      </c>
      <c r="R144" s="253"/>
      <c r="S144" s="276">
        <f t="shared" si="48"/>
        <v>205.49999999999977</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439.3518839097033</v>
      </c>
      <c r="G145" s="298"/>
      <c r="H145" s="41"/>
      <c r="I145" s="254"/>
      <c r="J145" s="253"/>
      <c r="K145" s="41"/>
      <c r="L145" s="256">
        <f>SUMIFS(BV_Data_An_Cour!$P:$P,BV_Data_An_Cour!$U:$U,$B145,BV_Data_An_Cour!$V:$V,$C145,BV_Data_An_Cour!$W:$W,$L$2)</f>
        <v>568.86</v>
      </c>
      <c r="M145" s="253"/>
      <c r="N145" s="276">
        <f t="shared" si="44"/>
        <v>129.50811609029671</v>
      </c>
      <c r="O145" s="253"/>
      <c r="P145" s="41"/>
      <c r="Q145" s="256" cm="1">
        <f t="array" ref="Q145">+SUMPRODUCT(('Réel 2024'!$A$8:$A$501=$A145)*('Réel 2024'!$C$3:$AO$3=Q$2),'Réel 2024'!$C$8:$AO$501)</f>
        <v>324.56</v>
      </c>
      <c r="R145" s="253"/>
      <c r="S145" s="276">
        <f t="shared" si="48"/>
        <v>244.3</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337.51790896709662</v>
      </c>
      <c r="G146" s="298"/>
      <c r="H146" s="41"/>
      <c r="I146" s="254"/>
      <c r="J146" s="253"/>
      <c r="K146" s="41"/>
      <c r="L146" s="256">
        <f>SUMIFS(BV_Data_An_Cour!$P:$P,BV_Data_An_Cour!$U:$U,$B146,BV_Data_An_Cour!$V:$V,$C146,BV_Data_An_Cour!$W:$W,$L$2)</f>
        <v>901.28</v>
      </c>
      <c r="M146" s="253"/>
      <c r="N146" s="276">
        <f t="shared" si="44"/>
        <v>563.7620910329033</v>
      </c>
      <c r="O146" s="253"/>
      <c r="P146" s="41"/>
      <c r="Q146" s="256" cm="1">
        <f t="array" ref="Q146">+SUMPRODUCT(('Réel 2024'!$A$8:$A$501=$A146)*('Réel 2024'!$C$3:$AO$3=Q$2),'Réel 2024'!$C$8:$AO$501)</f>
        <v>321.99</v>
      </c>
      <c r="R146" s="253"/>
      <c r="S146" s="276">
        <f t="shared" si="48"/>
        <v>579.29</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751.46132206583673</v>
      </c>
      <c r="G147" s="298"/>
      <c r="H147" s="41"/>
      <c r="I147" s="254"/>
      <c r="J147" s="253"/>
      <c r="K147" s="41"/>
      <c r="L147" s="256">
        <f>SUMIFS(BV_Data_An_Cour!$P:$P,BV_Data_An_Cour!$U:$U,$B147,BV_Data_An_Cour!$V:$V,$C147,BV_Data_An_Cour!$W:$W,$L$2)</f>
        <v>221.26</v>
      </c>
      <c r="M147" s="253"/>
      <c r="N147" s="276">
        <f t="shared" si="44"/>
        <v>-530.20132206583673</v>
      </c>
      <c r="O147" s="253"/>
      <c r="P147" s="41"/>
      <c r="Q147" s="256" cm="1">
        <f t="array" ref="Q147">+SUMPRODUCT(('Réel 2024'!$A$8:$A$501=$A147)*('Réel 2024'!$C$3:$AO$3=Q$2),'Réel 2024'!$C$8:$AO$501)</f>
        <v>444.17</v>
      </c>
      <c r="R147" s="253"/>
      <c r="S147" s="276">
        <f t="shared" si="48"/>
        <v>-222.91000000000003</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1529.250601878894</v>
      </c>
      <c r="G148" s="298"/>
      <c r="H148" s="41"/>
      <c r="I148" s="254"/>
      <c r="J148" s="253"/>
      <c r="K148" s="41"/>
      <c r="L148" s="256">
        <f>SUMIFS(BV_Data_An_Cour!$P:$P,BV_Data_An_Cour!$U:$U,$B148,BV_Data_An_Cour!$V:$V,$C148,BV_Data_An_Cour!$W:$W,$L$2)</f>
        <v>3932.33</v>
      </c>
      <c r="M148" s="253"/>
      <c r="N148" s="276">
        <f t="shared" si="44"/>
        <v>2403.0793981211059</v>
      </c>
      <c r="O148" s="253"/>
      <c r="P148" s="41"/>
      <c r="Q148" s="256" cm="1">
        <f t="array" ref="Q148">+SUMPRODUCT(('Réel 2024'!$A$8:$A$501=$A148)*('Réel 2024'!$C$3:$AO$3=Q$2),'Réel 2024'!$C$8:$AO$501)</f>
        <v>522.95999999999992</v>
      </c>
      <c r="R148" s="253"/>
      <c r="S148" s="276">
        <f t="shared" si="48"/>
        <v>3409.37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5303.8112687316971</v>
      </c>
      <c r="G149" s="298"/>
      <c r="H149" s="41"/>
      <c r="I149" s="254"/>
      <c r="J149" s="253"/>
      <c r="K149" s="41"/>
      <c r="L149" s="952">
        <f>SUMIFS(BV_Data_An_Cour!$P:$P,BV_Data_An_Cour!$U:$U,$B149,BV_Data_An_Cour!$V:$V,$C149,BV_Data_An_Cour!$W:$W,L$2)</f>
        <v>5675.28</v>
      </c>
      <c r="M149" s="987"/>
      <c r="N149" s="961">
        <f t="shared" si="44"/>
        <v>371.46873126830269</v>
      </c>
      <c r="O149" s="253"/>
      <c r="P149" s="41"/>
      <c r="Q149" s="256" cm="1">
        <f t="array" ref="Q149">+SUMPRODUCT(('Réel 2024'!$A$8:$A$501=$A149)*('Réel 2024'!$C$3:$AO$3=Q$2),'Réel 2024'!$C$8:$AO$501)</f>
        <v>5594.9599999999991</v>
      </c>
      <c r="R149" s="253"/>
      <c r="S149" s="276">
        <f t="shared" si="48"/>
        <v>80.320000000000618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2024'!$A$8:$A$501=$A150)*('Réel 2024'!$C$3:$AO$3=Q$2),'Réel 2024'!$C$8:$AO$501)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2024'!$A$8:$A$501=$A151)*('Réel 2024'!$C$3:$AO$3=Q$2),'Réel 2024'!$C$8:$AO$501)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2024'!$A$8:$A$501=$A152)*('Réel 2024'!$C$3:$AO$3=Q$2),'Réel 2024'!$C$8:$AO$501)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7.4662179982345242E-2</v>
      </c>
      <c r="F153" s="307">
        <f>+SUM(F136:F152)</f>
        <v>60386.771169720836</v>
      </c>
      <c r="G153" s="308"/>
      <c r="H153" s="306"/>
      <c r="I153" s="307"/>
      <c r="J153" s="308" t="s">
        <v>119</v>
      </c>
      <c r="K153" s="306">
        <f>L153/L$108</f>
        <v>9.8662024913816232E-2</v>
      </c>
      <c r="L153" s="307">
        <f>+SUM(L136:L152)</f>
        <v>77264.569999999992</v>
      </c>
      <c r="M153" s="311"/>
      <c r="N153" s="307">
        <f t="shared" si="44"/>
        <v>16877.798830279156</v>
      </c>
      <c r="O153" s="308" t="s">
        <v>119</v>
      </c>
      <c r="P153" s="306">
        <f>Q153/Q$108</f>
        <v>0.12608195307322617</v>
      </c>
      <c r="Q153" s="307">
        <f>+SUM(Q136:Q152)</f>
        <v>51069.62999999999</v>
      </c>
      <c r="R153" s="311"/>
      <c r="S153" s="307">
        <f t="shared" si="48"/>
        <v>26194.940000000002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1.0005984106257624</v>
      </c>
      <c r="F155" s="307">
        <f>F122+F135+F153</f>
        <v>809283.99451411667</v>
      </c>
      <c r="G155" s="308"/>
      <c r="H155" s="306"/>
      <c r="I155" s="307"/>
      <c r="J155" s="308" t="s">
        <v>119</v>
      </c>
      <c r="K155" s="306">
        <f>L155/L$108</f>
        <v>0.88880858796637052</v>
      </c>
      <c r="L155" s="307">
        <f>L122+L135+L153</f>
        <v>696047.07</v>
      </c>
      <c r="M155" s="311"/>
      <c r="N155" s="320">
        <f t="shared" ref="N155:N162" si="49">L155-F155</f>
        <v>-113236.92451411672</v>
      </c>
      <c r="O155" s="308" t="s">
        <v>119</v>
      </c>
      <c r="P155" s="306">
        <f>Q155/Q$108</f>
        <v>1.6202801784969993</v>
      </c>
      <c r="Q155" s="307">
        <f>Q122+Q135+Q153</f>
        <v>656296.21999999986</v>
      </c>
      <c r="R155" s="311"/>
      <c r="S155" s="320">
        <f t="shared" ref="S155:S162" si="50">L155-Q155</f>
        <v>39750.850000000093</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2024'!$A$8:$A$501=$A156)*('Réel 2024'!$C$3:$AO$3=Q$2),'Réel 2024'!$C$8:$AO$501)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2024'!$A$8:$A$501=$A157)*('Réel 2024'!$C$3:$AO$3=Q$2),'Réel 2024'!$C$8:$AO$501)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2024'!$A$8:$A$501=$A158)*('Réel 2024'!$C$3:$AO$3=Q$2),'Réel 2024'!$C$8:$AO$501)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81116.7</v>
      </c>
      <c r="G159" s="298"/>
      <c r="H159" s="41"/>
      <c r="I159" s="254"/>
      <c r="J159" s="253"/>
      <c r="K159" s="41"/>
      <c r="L159" s="256">
        <f>-SUMIFS(BV_Data_An_Cour!$P:$P,BV_Data_An_Cour!$U:$U,$B159,BV_Data_An_Cour!$V:$V,$C159,BV_Data_An_Cour!$W:$W,L$2)</f>
        <v>88527</v>
      </c>
      <c r="M159" s="253"/>
      <c r="N159" s="276">
        <f t="shared" si="49"/>
        <v>7410.3000000000029</v>
      </c>
      <c r="O159" s="253"/>
      <c r="P159" s="41"/>
      <c r="Q159" s="256" cm="1">
        <f t="array" ref="Q159">+SUMPRODUCT(('Réel 2024'!$A$8:$A$501=$A159)*('Réel 2024'!$C$3:$AO$3=Q$2),'Réel 2024'!$C$8:$AO$501)</f>
        <v>61111</v>
      </c>
      <c r="R159" s="253"/>
      <c r="S159" s="276">
        <f t="shared" si="50"/>
        <v>27416</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2024'!$A$8:$A$501=$A160)*('Réel 2024'!$C$3:$AO$3=Q$2),'Réel 2024'!$C$8:$AO$501)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2024'!$A$8:$A$501=$A161)*('Réel 2024'!$C$3:$AO$3=Q$2),'Réel 2024'!$C$8:$AO$501)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2024'!$A$8:$A$501=$A162)*('Réel 2024'!$C$3:$AO$3=Q$2),'Réel 2024'!$C$8:$AO$501)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81116.7</v>
      </c>
      <c r="G163" s="308"/>
      <c r="H163" s="306"/>
      <c r="I163" s="307"/>
      <c r="J163" s="308"/>
      <c r="K163" s="306"/>
      <c r="L163" s="307">
        <f>+SUM(L156:L162)</f>
        <v>88527</v>
      </c>
      <c r="M163" s="311"/>
      <c r="N163" s="307">
        <f>SUM(N156:N159)</f>
        <v>7410.3000000000029</v>
      </c>
      <c r="O163" s="308"/>
      <c r="P163" s="306"/>
      <c r="Q163" s="307">
        <f>+SUM(Q156:Q162)</f>
        <v>61111</v>
      </c>
      <c r="R163" s="311"/>
      <c r="S163" s="307">
        <f>+SUM(S156:S162)</f>
        <v>27416</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80632.705485883329</v>
      </c>
      <c r="G165" s="361"/>
      <c r="H165" s="333"/>
      <c r="I165" s="335"/>
      <c r="J165" s="332"/>
      <c r="K165" s="334"/>
      <c r="L165" s="335">
        <f>L108-L155+L163</f>
        <v>175603.63000000047</v>
      </c>
      <c r="M165" s="332"/>
      <c r="N165" s="335">
        <f>L165-F165</f>
        <v>94970.924514117141</v>
      </c>
      <c r="O165" s="332"/>
      <c r="P165" s="334"/>
      <c r="Q165" s="335">
        <f>Q108-Q155+Q163</f>
        <v>-190134.15000000031</v>
      </c>
      <c r="R165" s="332"/>
      <c r="S165" s="335">
        <f>L165-Q165</f>
        <v>365737.78000000078</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Juillet 2025</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5" t="s">
        <v>343</v>
      </c>
      <c r="E170" s="1226"/>
      <c r="F170" s="1227"/>
      <c r="G170" s="1230"/>
      <c r="H170" s="1226"/>
      <c r="I170" s="1227"/>
      <c r="J170" s="1230" t="s">
        <v>344</v>
      </c>
      <c r="K170" s="1226"/>
      <c r="L170" s="1227"/>
      <c r="M170" s="1230" t="s">
        <v>3310</v>
      </c>
      <c r="N170" s="1227"/>
      <c r="O170" s="1225" t="s">
        <v>345</v>
      </c>
      <c r="P170" s="1226"/>
      <c r="Q170" s="1227"/>
      <c r="R170" s="1228" t="s">
        <v>3312</v>
      </c>
      <c r="S170" s="1229"/>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3117.92</v>
      </c>
      <c r="E172" s="291" cm="1">
        <f t="array" ref="E172">+SUMPRODUCT(('Budget original'!$A$8:$A$501=$A172)*('Budget original'!$C$3:$AO$3=E$2),'Budget original'!$C$8:$AO$501)</f>
        <v>1060092.8</v>
      </c>
      <c r="F172" s="291" cm="1">
        <f t="array" ref="F172">+SUMPRODUCT(('Budget original'!$A$8:$A$501=$A172)*('Budget original'!$C$3:$AO$3=F$2),'Budget original'!$C$8:$AO$501)</f>
        <v>826872.38400000008</v>
      </c>
      <c r="G172" s="322"/>
      <c r="H172" s="291"/>
      <c r="I172" s="291"/>
      <c r="J172" s="277">
        <f>-SUMIFS(BV_Data_An_Cour!$P:$P,BV_Data_An_Cour!$U:$U,$B172,BV_Data_An_Cour!$V:$V,$C172,BV_Data_An_Cour!$W:$W,J$2)</f>
        <v>3122</v>
      </c>
      <c r="K172" s="254">
        <f>-SUMIFS(BV_Data_An_Cour!$P:$P,BV_Data_An_Cour!$X:$X,"Oui",BV_Data_An_Cour!$U:$U,$B172,BV_Data_An_Cour!$V:$V,$C172)</f>
        <v>1014010.1</v>
      </c>
      <c r="L172" s="256">
        <f>-SUMIFS(BV_Data_An_Cour!$P:$P,BV_Data_An_Cour!$U:$U,$B172,BV_Data_An_Cour!$V:$V,$C172,BV_Data_An_Cour!$W:$W,$L$2)</f>
        <v>795935.69</v>
      </c>
      <c r="M172" s="292">
        <f>(K172-E172)/E172</f>
        <v>-4.3470439569064205E-2</v>
      </c>
      <c r="N172" s="276">
        <f>L172-F172</f>
        <v>-30936.694000000134</v>
      </c>
      <c r="O172" s="277" cm="1">
        <f t="array" ref="O172">+SUMPRODUCT(('Réel 2024'!$A$8:$A$501=$A172)*('Réel 2024'!$C$3:$AO$3=O$2),'Réel 2024'!$C$8:$AO$501)</f>
        <v>2990</v>
      </c>
      <c r="P172" s="254" cm="1">
        <f t="array" ref="P172">+SUMPRODUCT(('Réel 2024'!$A$8:$A$501=$A172)*('Réel 2024'!$C$3:$AO$3=P$2),'Réel 2024'!$C$8:$AO$501)</f>
        <v>962083.78999999992</v>
      </c>
      <c r="Q172" s="256" cm="1">
        <f t="array" ref="Q172">+SUMPRODUCT(('Réel 2024'!$A$8:$A$501=$A172)*('Réel 2024'!$C$3:$AO$3=Q$2),'Réel 2024'!$C$8:$AO$501)</f>
        <v>757673.33999999985</v>
      </c>
      <c r="R172" s="292">
        <f>IF(O172=0,0,J172/O172)</f>
        <v>1.0441471571906356</v>
      </c>
      <c r="S172" s="276">
        <f>L172-Q172</f>
        <v>38262.350000000093</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0.78</v>
      </c>
      <c r="G173" s="253"/>
      <c r="H173" s="349"/>
      <c r="I173" s="362"/>
      <c r="J173" s="277"/>
      <c r="K173" s="41"/>
      <c r="L173" s="362">
        <f>IF(L172=0,0,L172/K172)</f>
        <v>0.784938621420043</v>
      </c>
      <c r="M173" s="292"/>
      <c r="N173" s="276"/>
      <c r="O173" s="277"/>
      <c r="P173" s="41"/>
      <c r="Q173" s="362">
        <f>Q172/P172</f>
        <v>0.78753363051673486</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340</v>
      </c>
      <c r="F174" s="364"/>
      <c r="G174" s="246"/>
      <c r="H174" s="403"/>
      <c r="I174" s="364"/>
      <c r="J174" s="365"/>
      <c r="K174" s="606">
        <f>IFERROR(K172/J172,0)</f>
        <v>324.79503523382448</v>
      </c>
      <c r="L174" s="364"/>
      <c r="M174" s="295"/>
      <c r="N174" s="296"/>
      <c r="O174" s="365"/>
      <c r="P174" s="606">
        <f>IFERROR(P172/O172,0)</f>
        <v>321.7671538461538</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731.58</v>
      </c>
      <c r="E175" s="291" cm="1">
        <f t="array" ref="E175">+SUMPRODUCT(('Budget original'!$A$8:$A$501=$A175)*('Budget original'!$C$3:$AO$3=E$2),'Budget original'!$C$8:$AO$501)</f>
        <v>197526.6</v>
      </c>
      <c r="F175" s="291" cm="1">
        <f t="array" ref="F175">+SUMPRODUCT(('Budget original'!$A$8:$A$501=$A175)*('Budget original'!$C$3:$AO$3=F$2),'Budget original'!$C$8:$AO$501)</f>
        <v>126417.024</v>
      </c>
      <c r="G175" s="367"/>
      <c r="H175" s="291"/>
      <c r="I175" s="291"/>
      <c r="J175" s="367">
        <f>-SUMIFS(BV_Data_An_Cour!$P:$P,BV_Data_An_Cour!$U:$U,$B175,BV_Data_An_Cour!$V:$V,$C175,BV_Data_An_Cour!$W:$W,J$2)</f>
        <v>1587</v>
      </c>
      <c r="K175" s="271">
        <f>-SUMIFS(BV_Data_An_Cour!$P:$P,BV_Data_An_Cour!$X:$X,"Oui",BV_Data_An_Cour!$U:$U,$B175,BV_Data_An_Cour!$V:$V,$C175)</f>
        <v>438929.45</v>
      </c>
      <c r="L175" s="256">
        <f>-SUMIFS(BV_Data_An_Cour!$P:$P,BV_Data_An_Cour!$U:$U,$B175,BV_Data_An_Cour!$V:$V,$C175,BV_Data_An_Cour!$W:$W,$L$2)</f>
        <v>282149.78000000003</v>
      </c>
      <c r="M175" s="292">
        <f>(K175-E175)/E175</f>
        <v>1.2221283108199099</v>
      </c>
      <c r="N175" s="317">
        <f>L175-F175</f>
        <v>155732.75600000002</v>
      </c>
      <c r="O175" s="367" cm="1">
        <f t="array" ref="O175">+SUMPRODUCT(('Réel 2024'!$A$8:$A$501=$A175)*('Réel 2024'!$C$3:$AO$3=O$2),'Réel 2024'!$C$8:$AO$501)</f>
        <v>731</v>
      </c>
      <c r="P175" s="271" cm="1">
        <f t="array" ref="P175">+SUMPRODUCT(('Réel 2024'!$A$8:$A$501=$A175)*('Réel 2024'!$C$3:$AO$3=P$2),'Réel 2024'!$C$8:$AO$501)</f>
        <v>198753.09</v>
      </c>
      <c r="Q175" s="256" cm="1">
        <f t="array" ref="Q175">+SUMPRODUCT(('Réel 2024'!$A$8:$A$501=$A175)*('Réel 2024'!$C$3:$AO$3=Q$2),'Réel 2024'!$C$8:$AO$501)</f>
        <v>127543.89999999962</v>
      </c>
      <c r="R175" s="292">
        <f>IF(O175=0,0,J175/O175)</f>
        <v>2.170998632010944</v>
      </c>
      <c r="S175" s="276">
        <f>L175-Q175</f>
        <v>154605.88000000041</v>
      </c>
      <c r="T175" s="291"/>
      <c r="U175" s="41" t="s">
        <v>462</v>
      </c>
      <c r="V175" s="254">
        <f>+K175+J297</f>
        <v>1054011.8600000001</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0.64</v>
      </c>
      <c r="G176" s="253"/>
      <c r="H176" s="41"/>
      <c r="I176" s="362"/>
      <c r="J176" s="253"/>
      <c r="K176" s="41"/>
      <c r="L176" s="362">
        <f>IF(L175=0,0,L175/K175)</f>
        <v>0.64281350909582402</v>
      </c>
      <c r="M176" s="264"/>
      <c r="N176" s="265"/>
      <c r="O176" s="253"/>
      <c r="P176" s="41"/>
      <c r="Q176" s="362">
        <f>Q175/P175</f>
        <v>0.64172033753034796</v>
      </c>
      <c r="R176" s="264"/>
      <c r="S176" s="265"/>
      <c r="T176" s="41"/>
      <c r="U176" s="41" t="s">
        <v>463</v>
      </c>
      <c r="V176" s="254">
        <f>+L175+L297</f>
        <v>425846.11000000004</v>
      </c>
      <c r="W176" s="368">
        <f>+V176/V175</f>
        <v>0.40402402113387986</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1632.4199999999998</v>
      </c>
      <c r="E178" s="291" cm="1">
        <f t="array" ref="E178">+SUMPRODUCT(('Budget original'!$A$8:$A$501=$A178)*('Budget original'!$C$3:$AO$3=E$2),'Budget original'!$C$8:$AO$501)</f>
        <v>501185.58840000001</v>
      </c>
      <c r="F178" s="291" cm="1">
        <f t="array" ref="F178">+SUMPRODUCT(('Budget original'!$A$8:$A$501=$A178)*('Budget original'!$C$3:$AO$3=F$2),'Budget original'!$C$8:$AO$501)</f>
        <v>370877.33541599999</v>
      </c>
      <c r="G178" s="253"/>
      <c r="H178" s="291"/>
      <c r="I178" s="291"/>
      <c r="J178" s="277">
        <f>-SUMIFS(BV_Data_An_Cour!$P:$P,BV_Data_An_Cour!$U:$U,$B178,BV_Data_An_Cour!$V:$V,$C178,BV_Data_An_Cour!$W:$W,J$2)</f>
        <v>1609</v>
      </c>
      <c r="K178" s="271">
        <f>-SUMIFS(BV_Data_An_Cour!$P:$P,BV_Data_An_Cour!$X:$X,"Oui",BV_Data_An_Cour!$U:$U,$B178,BV_Data_An_Cour!$V:$V,$C178)</f>
        <v>520422.83</v>
      </c>
      <c r="L178" s="256">
        <f>-SUMIFS(BV_Data_An_Cour!$P:$P,BV_Data_An_Cour!$U:$U,$B178,BV_Data_An_Cour!$V:$V,$C178,BV_Data_An_Cour!$W:$W,$L$2)</f>
        <v>401060.16000000003</v>
      </c>
      <c r="M178" s="292">
        <f>(K178-E178)/E178</f>
        <v>3.8383469208309755E-2</v>
      </c>
      <c r="N178" s="276">
        <f>L178-F178</f>
        <v>30182.824584000045</v>
      </c>
      <c r="O178" s="277" cm="1">
        <f t="array" ref="O178">+SUMPRODUCT(('Réel 2024'!$A$8:$A$501=$A178)*('Réel 2024'!$C$3:$AO$3=O$2),'Réel 2024'!$C$8:$AO$501)</f>
        <v>1690</v>
      </c>
      <c r="P178" s="271" cm="1">
        <f t="array" ref="P178">+SUMPRODUCT(('Réel 2024'!$A$8:$A$501=$A178)*('Réel 2024'!$C$3:$AO$3=P$2),'Réel 2024'!$C$8:$AO$501)</f>
        <v>509452.83999999979</v>
      </c>
      <c r="Q178" s="256" cm="1">
        <f t="array" ref="Q178">+SUMPRODUCT(('Réel 2024'!$A$8:$A$501=$A178)*('Réel 2024'!$C$3:$AO$3=Q$2),'Réel 2024'!$C$8:$AO$501)</f>
        <v>381700.76999999955</v>
      </c>
      <c r="R178" s="292">
        <f>IF(O178=0,0,J178/O178)</f>
        <v>0.95207100591715976</v>
      </c>
      <c r="S178" s="276">
        <f>L178-Q178</f>
        <v>19359.39000000048</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0.74</v>
      </c>
      <c r="G179" s="253"/>
      <c r="H179" s="349"/>
      <c r="I179" s="362"/>
      <c r="J179" s="277"/>
      <c r="K179" s="349"/>
      <c r="L179" s="362">
        <f>IF(L178=0,0,L178/K178)</f>
        <v>0.77064290204178787</v>
      </c>
      <c r="M179" s="292"/>
      <c r="N179" s="276">
        <f>L179-F179</f>
        <v>3.0642902041787878E-2</v>
      </c>
      <c r="O179" s="277"/>
      <c r="P179" s="349"/>
      <c r="Q179" s="362">
        <f>Q178/P178</f>
        <v>0.74923671050690321</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411.96800000000007</v>
      </c>
      <c r="E181" s="291" cm="1">
        <f t="array" ref="E181">+SUMPRODUCT(('Budget original'!$A$8:$A$501=$A181)*('Budget original'!$C$3:$AO$3=E$2),'Budget original'!$C$8:$AO$501)</f>
        <v>111231.36000000002</v>
      </c>
      <c r="F181" s="291" cm="1">
        <f t="array" ref="F181">+SUMPRODUCT(('Budget original'!$A$8:$A$501=$A181)*('Budget original'!$C$3:$AO$3=F$2),'Budget original'!$C$8:$AO$501)</f>
        <v>83423.520000000004</v>
      </c>
      <c r="G181" s="241"/>
      <c r="H181" s="291"/>
      <c r="I181" s="291"/>
      <c r="J181" s="367">
        <f>-SUMIFS(BV_Data_An_Cour!$P:$P,BV_Data_An_Cour!$U:$U,$B181,BV_Data_An_Cour!$V:$V,$C181,BV_Data_An_Cour!$W:$W,J$2)</f>
        <v>0</v>
      </c>
      <c r="K181" s="271">
        <f>-SUMIFS(BV_Data_An_Cour!$P:$P,BV_Data_An_Cour!$X:$X,"Oui",BV_Data_An_Cour!$U:$U,$B181,BV_Data_An_Cour!$V:$V,$C181)</f>
        <v>82464.55</v>
      </c>
      <c r="L181" s="272">
        <f>-SUMIFS(BV_Data_An_Cour!$P:$P,BV_Data_An_Cour!$U:$U,$B181,BV_Data_An_Cour!$V:$V,$C181,BV_Data_An_Cour!$W:$W,$L$2)</f>
        <v>65560.760000000009</v>
      </c>
      <c r="M181" s="371">
        <f>IF(E181=0,0,(K181-E181)/E181)</f>
        <v>-0.25862139957652236</v>
      </c>
      <c r="N181" s="317">
        <f>L181-F181</f>
        <v>-17862.759999999995</v>
      </c>
      <c r="O181" s="367" cm="1">
        <f t="array" ref="O181">+SUMPRODUCT(('Réel 2024'!$A$8:$A$501=$A181)*('Réel 2024'!$C$3:$AO$3=O$2),'Réel 2024'!$C$8:$AO$501)</f>
        <v>0</v>
      </c>
      <c r="P181" s="271" cm="1">
        <f t="array" ref="P181">+SUMPRODUCT(('Réel 2024'!$A$8:$A$501=$A181)*('Réel 2024'!$C$3:$AO$3=P$2),'Réel 2024'!$C$8:$AO$501)</f>
        <v>102804.51000000001</v>
      </c>
      <c r="Q181" s="272" cm="1">
        <f t="array" ref="Q181">+SUMPRODUCT(('Réel 2024'!$A$8:$A$501=$A181)*('Réel 2024'!$C$3:$AO$3=Q$2),'Réel 2024'!$C$8:$AO$501)</f>
        <v>76613.100000000006</v>
      </c>
      <c r="R181" s="292">
        <f>IF(O181=0,0,J181/O181)</f>
        <v>0</v>
      </c>
      <c r="S181" s="317">
        <f>L181-Q181</f>
        <v>-11052.339999999997</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0.74999999999999989</v>
      </c>
      <c r="G182" s="270"/>
      <c r="H182" s="372"/>
      <c r="I182" s="362"/>
      <c r="J182" s="373"/>
      <c r="K182" s="372">
        <f>IF(J182&lt;=0,0,L182/J182)</f>
        <v>0</v>
      </c>
      <c r="L182" s="362">
        <f>IF(L181=0,0,L181/K181)</f>
        <v>0.79501749539650679</v>
      </c>
      <c r="M182" s="277">
        <f>J182-D182</f>
        <v>0</v>
      </c>
      <c r="N182" s="374"/>
      <c r="O182" s="373"/>
      <c r="P182" s="372"/>
      <c r="Q182" s="362">
        <f>IFERROR(Q181/P181,0)</f>
        <v>0.74523092420750803</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-21967.309643141238</v>
      </c>
      <c r="G184" s="253"/>
      <c r="H184" s="291"/>
      <c r="I184" s="291"/>
      <c r="J184" s="277"/>
      <c r="K184" s="291"/>
      <c r="L184" s="291">
        <f>-SUMIFS(BV_Data_An_Cour!$P:$P,BV_Data_An_Cour!$U:$U,$B184,BV_Data_An_Cour!$V:$V,$C184,BV_Data_An_Cour!$W:$W,$L$2)</f>
        <v>-12817.44</v>
      </c>
      <c r="M184" s="373"/>
      <c r="N184" s="276">
        <f>L184-F184</f>
        <v>9149.8696431412372</v>
      </c>
      <c r="O184" s="277"/>
      <c r="P184" s="291"/>
      <c r="Q184" s="291" cm="1">
        <f t="array" ref="Q184">+SUMPRODUCT(('Réel 2024'!$A$8:$A$501=$A184)*('Réel 2024'!$C$3:$AO$3=Q$2),'Réel 2024'!$C$8:$AO$501)</f>
        <v>-21003.059999999998</v>
      </c>
      <c r="R184" s="379"/>
      <c r="S184" s="276">
        <f t="shared" ref="S184:S185" si="52">L184-Q184</f>
        <v>8185.6199999999972</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5893.8879999999999</v>
      </c>
      <c r="E185" s="381">
        <f>E172+E175+E178+E181+E184</f>
        <v>1870036.3484000002</v>
      </c>
      <c r="F185" s="382">
        <f t="shared" ref="F185" si="54">F172+F175+F178+F181+F184</f>
        <v>1385622.9537728589</v>
      </c>
      <c r="G185" s="383"/>
      <c r="H185" s="381"/>
      <c r="I185" s="382"/>
      <c r="J185" s="383">
        <f t="shared" ref="J185:L185" si="55">J172+J175+J178+J181+J184</f>
        <v>6318</v>
      </c>
      <c r="K185" s="381">
        <f t="shared" si="55"/>
        <v>2055826.9300000002</v>
      </c>
      <c r="L185" s="382">
        <f t="shared" si="55"/>
        <v>1531888.95</v>
      </c>
      <c r="M185" s="384">
        <f>(K185-E185)/E185</f>
        <v>9.9351321036600174E-2</v>
      </c>
      <c r="N185" s="382">
        <f>L185-F185</f>
        <v>146265.996227141</v>
      </c>
      <c r="O185" s="383">
        <f t="shared" ref="O185" si="56">O172+O175+O178+O181+O184</f>
        <v>5411</v>
      </c>
      <c r="P185" s="381">
        <f>P172+P175+P178+P181+P184</f>
        <v>1773094.2299999997</v>
      </c>
      <c r="Q185" s="382">
        <f t="shared" ref="Q185" si="57">Q172+Q175+Q178+Q181+Q184</f>
        <v>1322528.0499999991</v>
      </c>
      <c r="R185" s="264">
        <f>IF(O185=0,0,J185/O185)</f>
        <v>1.1676215117353539</v>
      </c>
      <c r="S185" s="382">
        <f t="shared" si="52"/>
        <v>209360.90000000084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317.28399799928337</v>
      </c>
      <c r="F186" s="388">
        <f>F185/E185</f>
        <v>0.74096043906226505</v>
      </c>
      <c r="G186" s="389"/>
      <c r="H186" s="609"/>
      <c r="I186" s="265"/>
      <c r="J186" s="389"/>
      <c r="K186" s="609">
        <f>IF(J185=0,0,K185/J185)</f>
        <v>325.39204336815453</v>
      </c>
      <c r="L186" s="265">
        <f>IF(L185=0,0,L185/K185)</f>
        <v>0.7451448989434144</v>
      </c>
      <c r="M186" s="389"/>
      <c r="N186" s="388">
        <f>N185/F185</f>
        <v>0.10555973818770756</v>
      </c>
      <c r="O186" s="389"/>
      <c r="P186" s="609">
        <f>IF(O185=0,0,P185/O185)</f>
        <v>327.68328035483268</v>
      </c>
      <c r="Q186" s="265">
        <f>Q185/P185</f>
        <v>0.74588706433272822</v>
      </c>
      <c r="R186" s="389"/>
      <c r="S186" s="265">
        <f>IF(Q185=0,0,(S185/Q185))</f>
        <v>0.15830356112295765</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114559.92000000001</v>
      </c>
      <c r="F188" s="291" cm="1">
        <f t="array" ref="F188">+SUMPRODUCT(('Budget original'!$A$8:$A$501=$A188)*('Budget original'!$C$3:$AO$3=F$2),'Budget original'!$C$8:$AO$501)</f>
        <v>20162.545919999997</v>
      </c>
      <c r="G188" s="277"/>
      <c r="H188" s="291"/>
      <c r="I188" s="291"/>
      <c r="J188" s="277"/>
      <c r="K188" s="254">
        <f>-SUMIFS(BV_Data_An_Cour!$P:$P,BV_Data_An_Cour!$X:$X,"Oui",BV_Data_An_Cour!$U:$U,$B188,BV_Data_An_Cour!$V:$V,$C188)</f>
        <v>132073.49</v>
      </c>
      <c r="L188" s="256">
        <f>-SUMIFS(BV_Data_An_Cour!$P:$P,BV_Data_An_Cour!$U:$U,$B188,BV_Data_An_Cour!$V:$V,$C188,BV_Data_An_Cour!$W:$W,$L$2)</f>
        <v>25683.44999999999</v>
      </c>
      <c r="M188" s="292">
        <f>IF(E188=0,0,(K188-E188)/E188)</f>
        <v>0.152876939858198</v>
      </c>
      <c r="N188" s="276">
        <f>L188-F188</f>
        <v>5520.904079999993</v>
      </c>
      <c r="O188" s="277"/>
      <c r="P188" s="254" cm="1">
        <f t="array" ref="P188">+SUMPRODUCT(('Réel 2024'!$A$8:$A$501=$A188)*('Réel 2024'!$C$3:$AO$3=P$2),'Réel 2024'!$C$8:$AO$501)</f>
        <v>129542.2</v>
      </c>
      <c r="Q188" s="256" cm="1">
        <f t="array" ref="Q188">+SUMPRODUCT(('Réel 2024'!$A$8:$A$501=$A188)*('Réel 2024'!$C$3:$AO$3=Q$2),'Réel 2024'!$C$8:$AO$501)</f>
        <v>21992.089999999971</v>
      </c>
      <c r="R188" s="292">
        <f>IF(O188=0,0,J188/O188)</f>
        <v>0</v>
      </c>
      <c r="S188" s="276">
        <f>L188-Q188</f>
        <v>3691.3600000000188</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0.17599999999999996</v>
      </c>
      <c r="G189" s="253"/>
      <c r="H189" s="349"/>
      <c r="I189" s="362"/>
      <c r="J189" s="373"/>
      <c r="K189" s="372"/>
      <c r="L189" s="362">
        <f>IF(L188=0,0,L188/K188)</f>
        <v>0.19446332492614521</v>
      </c>
      <c r="M189" s="373"/>
      <c r="N189" s="374"/>
      <c r="O189" s="373"/>
      <c r="P189" s="372"/>
      <c r="Q189" s="362">
        <f>IFERROR(Q188/P188,0)</f>
        <v>0.1697677667972288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85280</v>
      </c>
      <c r="F191" s="291" cm="1">
        <f t="array" ref="F191">+SUMPRODUCT(('Budget original'!$A$8:$A$501=$A191)*('Budget original'!$C$3:$AO$3=F$2),'Budget original'!$C$8:$AO$501)</f>
        <v>59696</v>
      </c>
      <c r="G191" s="253"/>
      <c r="H191" s="291"/>
      <c r="I191" s="291"/>
      <c r="J191" s="373"/>
      <c r="K191" s="254">
        <f>-SUMIFS(BV_Data_An_Cour!$P:$P,BV_Data_An_Cour!$X:$X,"Oui",BV_Data_An_Cour!$U:$U,$B191,BV_Data_An_Cour!$V:$V,$C191)</f>
        <v>67519.350000000006</v>
      </c>
      <c r="L191" s="256">
        <f>-SUMIFS(BV_Data_An_Cour!$P:$P,BV_Data_An_Cour!$U:$U,$B191,BV_Data_An_Cour!$V:$V,$C191,BV_Data_An_Cour!$W:$W,$L$2)</f>
        <v>49582.280000000006</v>
      </c>
      <c r="M191" s="373"/>
      <c r="N191" s="374"/>
      <c r="O191" s="373"/>
      <c r="P191" s="254" cm="1">
        <f t="array" ref="P191">+SUMPRODUCT(('Réel 2024'!$A$8:$A$501=$A191)*('Réel 2024'!$C$3:$AO$3=P$2),'Réel 2024'!$C$8:$AO$501)</f>
        <v>60689.29</v>
      </c>
      <c r="Q191" s="254" cm="1">
        <f t="array" ref="Q191">+SUMPRODUCT(('Réel 2024'!$A$8:$A$501=$A191)*('Réel 2024'!$C$3:$AO$3=Q$2),'Réel 2024'!$C$8:$AO$501)</f>
        <v>43495.94</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0.73434178498460079</v>
      </c>
      <c r="M192" s="373"/>
      <c r="N192" s="374"/>
      <c r="O192" s="373"/>
      <c r="P192" s="372"/>
      <c r="Q192" s="362">
        <f>IF(Q191=0,0,Q191/P191)</f>
        <v>0.71669877831821727</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2069876.2684000002</v>
      </c>
      <c r="F194" s="281">
        <f t="shared" si="58"/>
        <v>1465481.4996928589</v>
      </c>
      <c r="G194" s="282"/>
      <c r="H194" s="279"/>
      <c r="I194" s="281"/>
      <c r="J194" s="282"/>
      <c r="K194" s="279">
        <f t="shared" ref="K194:L194" si="59">K185+K188+K191</f>
        <v>2255419.77</v>
      </c>
      <c r="L194" s="281">
        <f t="shared" si="59"/>
        <v>1607154.68</v>
      </c>
      <c r="M194" s="399">
        <f>L195-F195</f>
        <v>4.570131661984167E-3</v>
      </c>
      <c r="N194" s="281">
        <f>L194-F194</f>
        <v>141673.18030714104</v>
      </c>
      <c r="O194" s="282"/>
      <c r="P194" s="279">
        <f t="shared" ref="P194" si="60">P185+P188+P191</f>
        <v>1963325.7199999997</v>
      </c>
      <c r="Q194" s="281">
        <f>Q185+Q188+Q191</f>
        <v>1388016.0799999991</v>
      </c>
      <c r="R194" s="399">
        <f>L195-Q195</f>
        <v>5.6026464814269428E-3</v>
      </c>
      <c r="S194" s="281">
        <f>L194-Q194</f>
        <v>219138.60000000079</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0.70800439720276898</v>
      </c>
      <c r="G195" s="283"/>
      <c r="H195" s="284"/>
      <c r="I195" s="287"/>
      <c r="J195" s="283"/>
      <c r="K195" s="284"/>
      <c r="L195" s="287">
        <f>L194/K194</f>
        <v>0.71257452886475314</v>
      </c>
      <c r="M195" s="286"/>
      <c r="N195" s="287">
        <f>N194/F194</f>
        <v>9.6673468983971098E-2</v>
      </c>
      <c r="O195" s="283"/>
      <c r="P195" s="284"/>
      <c r="Q195" s="287">
        <f>Q194/P194</f>
        <v>0.7069718823833262</v>
      </c>
      <c r="R195" s="286"/>
      <c r="S195" s="287">
        <f>L194/S194</f>
        <v>7.333964349502982</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115680.21826923077</v>
      </c>
      <c r="G198" s="253"/>
      <c r="H198" s="41"/>
      <c r="I198" s="254"/>
      <c r="J198" s="253"/>
      <c r="K198" s="41"/>
      <c r="L198" s="256">
        <f>SUMIFS(BV_Data_An_Cour!$P:$P,BV_Data_An_Cour!$U:$U,$B198,BV_Data_An_Cour!$V:$V,$C198,BV_Data_An_Cour!$W:$W,$L$2)</f>
        <v>106489</v>
      </c>
      <c r="M198" s="253"/>
      <c r="N198" s="276">
        <f t="shared" ref="N198:N229" si="61">L198-F198</f>
        <v>-9191.2182692307688</v>
      </c>
      <c r="O198" s="253"/>
      <c r="P198" s="41"/>
      <c r="Q198" s="256" cm="1">
        <f t="array" ref="Q198">+SUMPRODUCT(('Réel 2024'!$A$8:$A$501=$A198)*('Réel 2024'!$C$3:$AO$3=Q$2),'Réel 2024'!$C$8:$AO$501)</f>
        <v>100198.67</v>
      </c>
      <c r="R198" s="253"/>
      <c r="S198" s="256">
        <f t="shared" ref="S198:S229" si="62">L198-Q198</f>
        <v>6290.3300000000017</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62625.797538461549</v>
      </c>
      <c r="G199" s="298"/>
      <c r="H199" s="41"/>
      <c r="I199" s="248"/>
      <c r="J199" s="253"/>
      <c r="K199" s="41"/>
      <c r="L199" s="256">
        <f>SUMIFS(BV_Data_An_Cour!$P:$P,BV_Data_An_Cour!$U:$U,$B199,BV_Data_An_Cour!$V:$V,$C199,BV_Data_An_Cour!$W:$W,$L$2)</f>
        <v>57333.09</v>
      </c>
      <c r="M199" s="253"/>
      <c r="N199" s="276">
        <f t="shared" si="61"/>
        <v>-5292.7075384615528</v>
      </c>
      <c r="O199" s="253"/>
      <c r="P199" s="41"/>
      <c r="Q199" s="256" cm="1">
        <f t="array" ref="Q199">+SUMPRODUCT(('Réel 2024'!$A$8:$A$501=$A199)*('Réel 2024'!$C$3:$AO$3=Q$2),'Réel 2024'!$C$8:$AO$501)</f>
        <v>52991.54</v>
      </c>
      <c r="R199" s="253"/>
      <c r="S199" s="276">
        <f t="shared" si="62"/>
        <v>4341.5499999999956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117508.32692307691</v>
      </c>
      <c r="G200" s="316"/>
      <c r="H200" s="315"/>
      <c r="I200" s="254"/>
      <c r="J200" s="241"/>
      <c r="K200" s="315"/>
      <c r="L200" s="272">
        <f>SUMIFS(BV_Data_An_Cour!$P:$P,BV_Data_An_Cour!$U:$U,$B200,BV_Data_An_Cour!$V:$V,$C200,BV_Data_An_Cour!$W:$W,$L$2)</f>
        <v>124292.81</v>
      </c>
      <c r="M200" s="241"/>
      <c r="N200" s="317">
        <f t="shared" si="61"/>
        <v>6784.4830769230903</v>
      </c>
      <c r="O200" s="241"/>
      <c r="P200" s="315"/>
      <c r="Q200" s="272" cm="1">
        <f t="array" ref="Q200">+SUMPRODUCT(('Réel 2024'!$A$8:$A$501=$A200)*('Réel 2024'!$C$3:$AO$3=Q$2),'Réel 2024'!$C$8:$AO$501)</f>
        <v>115657.70000000001</v>
      </c>
      <c r="R200" s="241"/>
      <c r="S200" s="317">
        <f t="shared" si="62"/>
        <v>8635.109999999986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199170.47128615383</v>
      </c>
      <c r="G201" s="298"/>
      <c r="H201" s="41"/>
      <c r="I201" s="254"/>
      <c r="J201" s="253"/>
      <c r="K201" s="41"/>
      <c r="L201" s="256">
        <f>SUMIFS(BV_Data_An_Cour!$P:$P,BV_Data_An_Cour!$U:$U,$B201,BV_Data_An_Cour!$V:$V,$C201,BV_Data_An_Cour!$W:$W,$L$2)</f>
        <v>149338.13</v>
      </c>
      <c r="M201" s="253"/>
      <c r="N201" s="276">
        <f t="shared" si="61"/>
        <v>-49832.341286153824</v>
      </c>
      <c r="O201" s="253"/>
      <c r="P201" s="41"/>
      <c r="Q201" s="256" cm="1">
        <f t="array" ref="Q201">+SUMPRODUCT(('Réel 2024'!$A$8:$A$501=$A201)*('Réel 2024'!$C$3:$AO$3=Q$2),'Réel 2024'!$C$8:$AO$501)</f>
        <v>196767.75</v>
      </c>
      <c r="R201" s="253"/>
      <c r="S201" s="276">
        <f t="shared" si="62"/>
        <v>-47429.619999999995</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2024'!$A$8:$A$501=$A202)*('Réel 2024'!$C$3:$AO$3=Q$2),'Réel 2024'!$C$8:$AO$501)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2024'!$A$8:$A$501=$A203)*('Réel 2024'!$C$3:$AO$3=Q$2),'Réel 2024'!$C$8:$AO$501)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2024'!$A$8:$A$501=$A204)*('Réel 2024'!$C$3:$AO$3=Q$2),'Réel 2024'!$C$8:$AO$501)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113908.91288783209</v>
      </c>
      <c r="G205" s="298"/>
      <c r="H205" s="41"/>
      <c r="I205" s="254"/>
      <c r="J205" s="253"/>
      <c r="K205" s="41"/>
      <c r="L205" s="256">
        <f>SUMIFS(BV_Data_An_Cour!$P:$P,BV_Data_An_Cour!$U:$U,$B205,BV_Data_An_Cour!$V:$V,$C205,BV_Data_An_Cour!$W:$W,$L$2)</f>
        <v>111898.31</v>
      </c>
      <c r="M205" s="253"/>
      <c r="N205" s="276">
        <f t="shared" si="61"/>
        <v>-2010.602887832094</v>
      </c>
      <c r="O205" s="253"/>
      <c r="P205" s="41"/>
      <c r="Q205" s="256" cm="1">
        <f t="array" ref="Q205">+SUMPRODUCT(('Réel 2024'!$A$8:$A$501=$A205)*('Réel 2024'!$C$3:$AO$3=Q$2),'Réel 2024'!$C$8:$AO$501)</f>
        <v>119907.35999999999</v>
      </c>
      <c r="R205" s="253"/>
      <c r="S205" s="276">
        <f t="shared" si="62"/>
        <v>-8009.0499999999884</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138497.18042749629</v>
      </c>
      <c r="G206" s="316"/>
      <c r="H206" s="315"/>
      <c r="I206" s="272"/>
      <c r="J206" s="241"/>
      <c r="K206" s="315"/>
      <c r="L206" s="272">
        <f>SUMIFS(BV_Data_An_Cour!$P:$P,BV_Data_An_Cour!$U:$U,$B206,BV_Data_An_Cour!$V:$V,$C206,BV_Data_An_Cour!$W:$W,$L$2)</f>
        <v>137236.91</v>
      </c>
      <c r="M206" s="241"/>
      <c r="N206" s="317">
        <f t="shared" si="61"/>
        <v>-1260.2704274962889</v>
      </c>
      <c r="O206" s="241"/>
      <c r="P206" s="315"/>
      <c r="Q206" s="272" cm="1">
        <f t="array" ref="Q206">+SUMPRODUCT(('Réel 2024'!$A$8:$A$501=$A206)*('Réel 2024'!$C$3:$AO$3=Q$2),'Réel 2024'!$C$8:$AO$501)</f>
        <v>153166.92000000001</v>
      </c>
      <c r="R206" s="241"/>
      <c r="S206" s="317">
        <f t="shared" si="62"/>
        <v>-15930.010000000009</v>
      </c>
      <c r="T206" s="41"/>
      <c r="V206" s="254">
        <f>L206-Print_Mois!L206</f>
        <v>117648.22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71356.156002862204</v>
      </c>
      <c r="G207" s="298"/>
      <c r="H207" s="41"/>
      <c r="I207" s="254"/>
      <c r="J207" s="253"/>
      <c r="K207" s="41"/>
      <c r="L207" s="256">
        <f>SUMIFS(BV_Data_An_Cour!$P:$P,BV_Data_An_Cour!$U:$U,$B207,BV_Data_An_Cour!$V:$V,$C207,BV_Data_An_Cour!$W:$W,$L$2)</f>
        <v>69789.290000000008</v>
      </c>
      <c r="M207" s="253"/>
      <c r="N207" s="276">
        <f t="shared" si="61"/>
        <v>-1566.8660028621962</v>
      </c>
      <c r="O207" s="253"/>
      <c r="P207" s="41"/>
      <c r="Q207" s="256" cm="1">
        <f t="array" ref="Q207">+SUMPRODUCT(('Réel 2024'!$A$8:$A$501=$A207)*('Réel 2024'!$C$3:$AO$3=Q$2),'Réel 2024'!$C$8:$AO$501)</f>
        <v>81555.78</v>
      </c>
      <c r="R207" s="253"/>
      <c r="S207" s="276">
        <f t="shared" si="62"/>
        <v>-11766.489999999991</v>
      </c>
      <c r="T207" s="41"/>
      <c r="V207" s="254">
        <f>L207-Print_Mois!L207</f>
        <v>60425.330000000009</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31111.685458350614</v>
      </c>
      <c r="G208" s="298"/>
      <c r="H208" s="41"/>
      <c r="I208" s="254"/>
      <c r="J208" s="253"/>
      <c r="K208" s="41"/>
      <c r="L208" s="256">
        <f>SUMIFS(BV_Data_An_Cour!$P:$P,BV_Data_An_Cour!$U:$U,$B208,BV_Data_An_Cour!$V:$V,$C208,BV_Data_An_Cour!$W:$W,$L$2)</f>
        <v>29458.25</v>
      </c>
      <c r="M208" s="253"/>
      <c r="N208" s="276">
        <f t="shared" si="61"/>
        <v>-1653.4354583506138</v>
      </c>
      <c r="O208" s="253"/>
      <c r="P208" s="41"/>
      <c r="Q208" s="256" cm="1">
        <f t="array" ref="Q208">+SUMPRODUCT(('Réel 2024'!$A$8:$A$501=$A208)*('Réel 2024'!$C$3:$AO$3=Q$2),'Réel 2024'!$C$8:$AO$501)</f>
        <v>28198.55</v>
      </c>
      <c r="R208" s="253"/>
      <c r="S208" s="276">
        <f t="shared" si="62"/>
        <v>1259.7000000000007</v>
      </c>
      <c r="T208" s="41"/>
      <c r="V208" s="254">
        <f>L208-Print_Mois!L208</f>
        <v>25101.64</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2024'!$A$8:$A$501=$A209)*('Réel 2024'!$C$3:$AO$3=Q$2),'Réel 2024'!$C$8:$AO$501)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0.57991776011609897</v>
      </c>
      <c r="F210" s="307">
        <f>+SUM(F198:F209)</f>
        <v>849858.74879346427</v>
      </c>
      <c r="G210" s="308"/>
      <c r="H210" s="306"/>
      <c r="I210" s="307"/>
      <c r="J210" s="308" t="s">
        <v>175</v>
      </c>
      <c r="K210" s="306">
        <f>L210/L$194</f>
        <v>0.48896089454189945</v>
      </c>
      <c r="L210" s="307">
        <f>+SUM(L198:L209)</f>
        <v>785835.79000000015</v>
      </c>
      <c r="M210" s="355"/>
      <c r="N210" s="320">
        <f t="shared" si="61"/>
        <v>-64022.958793464117</v>
      </c>
      <c r="O210" s="308" t="s">
        <v>175</v>
      </c>
      <c r="P210" s="306">
        <f>Q210/Q$194</f>
        <v>0.61126400639393219</v>
      </c>
      <c r="Q210" s="307">
        <f>+SUM(Q198:Q209)</f>
        <v>848444.27000000014</v>
      </c>
      <c r="R210" s="355"/>
      <c r="S210" s="320">
        <f t="shared" si="62"/>
        <v>-62608.479999999981</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78087.497658312233</v>
      </c>
      <c r="G211" s="298"/>
      <c r="H211" s="41"/>
      <c r="I211" s="254"/>
      <c r="J211" s="253"/>
      <c r="K211" s="41"/>
      <c r="L211" s="256">
        <f>SUMIFS(BV_Data_An_Cour!$P:$P,BV_Data_An_Cour!$U:$U,$B211,BV_Data_An_Cour!$V:$V,$C211,BV_Data_An_Cour!$W:$W,$L$2)</f>
        <v>97568.55</v>
      </c>
      <c r="M211" s="253"/>
      <c r="N211" s="276">
        <f t="shared" si="61"/>
        <v>19481.05234168777</v>
      </c>
      <c r="O211" s="253"/>
      <c r="P211" s="41"/>
      <c r="Q211" s="256" cm="1">
        <f t="array" ref="Q211">+SUMPRODUCT(('Réel 2024'!$A$8:$A$501=$A211)*('Réel 2024'!$C$3:$AO$3=Q$2),'Réel 2024'!$C$8:$AO$501)</f>
        <v>79934.100000000006</v>
      </c>
      <c r="R211" s="253"/>
      <c r="S211" s="276">
        <f t="shared" si="62"/>
        <v>17634.449999999997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23955.241823265966</v>
      </c>
      <c r="G212" s="298"/>
      <c r="H212" s="41"/>
      <c r="I212" s="254"/>
      <c r="J212" s="253"/>
      <c r="K212" s="41"/>
      <c r="L212" s="610">
        <f>SUMIFS(BV_Data_An_Cour!$P:$P,BV_Data_An_Cour!$U:$U,$B212,BV_Data_An_Cour!$V:$V,$C212,BV_Data_An_Cour!$W:$W,$L$2)</f>
        <v>23913.710000000003</v>
      </c>
      <c r="M212" s="253"/>
      <c r="N212" s="276">
        <f t="shared" si="61"/>
        <v>-41.531823265962885</v>
      </c>
      <c r="O212" s="253"/>
      <c r="P212" s="41"/>
      <c r="Q212" s="256" cm="1">
        <f t="array" ref="Q212">+SUMPRODUCT(('Réel 2024'!$A$8:$A$501=$A212)*('Réel 2024'!$C$3:$AO$3=Q$2),'Réel 2024'!$C$8:$AO$501)</f>
        <v>21808.219999999979</v>
      </c>
      <c r="R212" s="253"/>
      <c r="S212" s="276">
        <f t="shared" si="62"/>
        <v>2105.4900000000234</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90586.175488888897</v>
      </c>
      <c r="G213" s="300"/>
      <c r="H213" s="318"/>
      <c r="I213" s="248"/>
      <c r="J213" s="246"/>
      <c r="K213" s="318"/>
      <c r="L213" s="256">
        <f>SUMIFS(BV_Data_An_Cour!$P:$P,BV_Data_An_Cour!$U:$U,$B213,BV_Data_An_Cour!$V:$V,$C213,BV_Data_An_Cour!$W:$W,$L$2)</f>
        <v>73239.850000000006</v>
      </c>
      <c r="M213" s="246"/>
      <c r="N213" s="296">
        <f t="shared" si="61"/>
        <v>-17346.325488888891</v>
      </c>
      <c r="O213" s="246"/>
      <c r="P213" s="318"/>
      <c r="Q213" s="256" cm="1">
        <f t="array" ref="Q213">+SUMPRODUCT(('Réel 2024'!$A$8:$A$501=$A213)*('Réel 2024'!$C$3:$AO$3=Q$2),'Réel 2024'!$C$8:$AO$501)</f>
        <v>83225.84</v>
      </c>
      <c r="R213" s="246"/>
      <c r="S213" s="296">
        <f t="shared" si="62"/>
        <v>-9985.9899999999907</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33483.212961706668</v>
      </c>
      <c r="G214" s="298"/>
      <c r="H214" s="41"/>
      <c r="I214" s="254"/>
      <c r="J214" s="253"/>
      <c r="K214" s="41"/>
      <c r="L214" s="272">
        <f>SUMIFS(BV_Data_An_Cour!$P:$P,BV_Data_An_Cour!$U:$U,$B214,BV_Data_An_Cour!$V:$V,$C214,BV_Data_An_Cour!$W:$W,$L$2)</f>
        <v>36495.699999999997</v>
      </c>
      <c r="M214" s="253"/>
      <c r="N214" s="276">
        <f t="shared" si="61"/>
        <v>3012.4870382933295</v>
      </c>
      <c r="O214" s="253"/>
      <c r="P214" s="41"/>
      <c r="Q214" s="272" cm="1">
        <f t="array" ref="Q214">+SUMPRODUCT(('Réel 2024'!$A$8:$A$501=$A214)*('Réel 2024'!$C$3:$AO$3=Q$2),'Réel 2024'!$C$8:$AO$501)</f>
        <v>33313.1</v>
      </c>
      <c r="R214" s="253"/>
      <c r="S214" s="276">
        <f t="shared" si="62"/>
        <v>3182.5999999999985</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7356.1262641558314</v>
      </c>
      <c r="G215" s="298"/>
      <c r="H215" s="41"/>
      <c r="I215" s="254"/>
      <c r="J215" s="253"/>
      <c r="K215" s="41"/>
      <c r="L215" s="256">
        <f>SUMIFS(BV_Data_An_Cour!$P:$P,BV_Data_An_Cour!$U:$U,$B215,BV_Data_An_Cour!$V:$V,$C215,BV_Data_An_Cour!$W:$W,$L$2)</f>
        <v>8745.67</v>
      </c>
      <c r="M215" s="253"/>
      <c r="N215" s="276">
        <f t="shared" si="61"/>
        <v>1389.5437358441686</v>
      </c>
      <c r="O215" s="253"/>
      <c r="P215" s="41"/>
      <c r="Q215" s="256" cm="1">
        <f t="array" ref="Q215">+SUMPRODUCT(('Réel 2024'!$A$8:$A$501=$A215)*('Réel 2024'!$C$3:$AO$3=Q$2),'Réel 2024'!$C$8:$AO$501)</f>
        <v>7096.51</v>
      </c>
      <c r="R215" s="253"/>
      <c r="S215" s="276">
        <f t="shared" si="62"/>
        <v>1649.1599999999999</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85897.622518452597</v>
      </c>
      <c r="G216" s="300"/>
      <c r="H216" s="318"/>
      <c r="I216" s="248"/>
      <c r="J216" s="246"/>
      <c r="K216" s="318"/>
      <c r="L216" s="256">
        <f>SUMIFS(BV_Data_An_Cour!$P:$P,BV_Data_An_Cour!$U:$U,$B216,BV_Data_An_Cour!$V:$V,$C216,BV_Data_An_Cour!$W:$W,$L$2)</f>
        <v>109825.05</v>
      </c>
      <c r="M216" s="246"/>
      <c r="N216" s="296">
        <f t="shared" si="61"/>
        <v>23927.427481547405</v>
      </c>
      <c r="O216" s="246"/>
      <c r="P216" s="318"/>
      <c r="Q216" s="256" cm="1">
        <f t="array" ref="Q216">+SUMPRODUCT(('Réel 2024'!$A$8:$A$501=$A216)*('Réel 2024'!$C$3:$AO$3=Q$2),'Réel 2024'!$C$8:$AO$501)</f>
        <v>73121.990000000005</v>
      </c>
      <c r="R216" s="246"/>
      <c r="S216" s="296">
        <f t="shared" si="62"/>
        <v>36703.06</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2024'!$A$8:$A$501=$A217)*('Réel 2024'!$C$3:$AO$3=Q$2),'Réel 2024'!$C$8:$AO$501)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33389.442955555569</v>
      </c>
      <c r="G218" s="298"/>
      <c r="H218" s="41"/>
      <c r="I218" s="254"/>
      <c r="J218" s="253"/>
      <c r="K218" s="41"/>
      <c r="L218" s="256">
        <f>SUMIFS(BV_Data_An_Cour!$P:$P,BV_Data_An_Cour!$U:$U,$B218,BV_Data_An_Cour!$V:$V,$C218,BV_Data_An_Cour!$W:$W,$L$2)</f>
        <v>33030.949999999997</v>
      </c>
      <c r="M218" s="253"/>
      <c r="N218" s="276">
        <f t="shared" si="61"/>
        <v>-358.49295555557183</v>
      </c>
      <c r="O218" s="253"/>
      <c r="P218" s="41"/>
      <c r="Q218" s="256" cm="1">
        <f t="array" ref="Q218">+SUMPRODUCT(('Réel 2024'!$A$8:$A$501=$A218)*('Réel 2024'!$C$3:$AO$3=Q$2),'Réel 2024'!$C$8:$AO$501)</f>
        <v>28314.07</v>
      </c>
      <c r="R218" s="253"/>
      <c r="S218" s="276">
        <f t="shared" si="62"/>
        <v>4716.8799999999974</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8543.2578475049213</v>
      </c>
      <c r="G219" s="298"/>
      <c r="H219" s="41"/>
      <c r="I219" s="254"/>
      <c r="J219" s="253"/>
      <c r="K219" s="41"/>
      <c r="L219" s="256">
        <f>SUMIFS(BV_Data_An_Cour!$P:$P,BV_Data_An_Cour!$U:$U,$B219,BV_Data_An_Cour!$V:$V,$C219,BV_Data_An_Cour!$W:$W,$L$2)</f>
        <v>5403.21</v>
      </c>
      <c r="M219" s="253"/>
      <c r="N219" s="276">
        <f t="shared" si="61"/>
        <v>-3140.0478475049213</v>
      </c>
      <c r="O219" s="253"/>
      <c r="P219" s="41"/>
      <c r="Q219" s="256" cm="1">
        <f t="array" ref="Q219">+SUMPRODUCT(('Réel 2024'!$A$8:$A$501=$A219)*('Réel 2024'!$C$3:$AO$3=Q$2),'Réel 2024'!$C$8:$AO$501)</f>
        <v>8887.5299999999988</v>
      </c>
      <c r="R219" s="253"/>
      <c r="S219" s="276">
        <f t="shared" si="62"/>
        <v>-3484.3199999999988</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5831.3790482628801</v>
      </c>
      <c r="G220" s="298"/>
      <c r="H220" s="41"/>
      <c r="I220" s="254"/>
      <c r="J220" s="253"/>
      <c r="K220" s="41"/>
      <c r="L220" s="256">
        <f>SUMIFS(BV_Data_An_Cour!$P:$P,BV_Data_An_Cour!$U:$U,$B220,BV_Data_An_Cour!$V:$V,$C220,BV_Data_An_Cour!$W:$W,$L$2)</f>
        <v>6557.16</v>
      </c>
      <c r="M220" s="253"/>
      <c r="N220" s="276">
        <f t="shared" si="61"/>
        <v>725.78095173711972</v>
      </c>
      <c r="O220" s="253"/>
      <c r="P220" s="41"/>
      <c r="Q220" s="256" cm="1">
        <f t="array" ref="Q220">+SUMPRODUCT(('Réel 2024'!$A$8:$A$501=$A220)*('Réel 2024'!$C$3:$AO$3=Q$2),'Réel 2024'!$C$8:$AO$501)</f>
        <v>4329.2300000000005</v>
      </c>
      <c r="R220" s="253"/>
      <c r="S220" s="276">
        <f t="shared" si="62"/>
        <v>2227.9299999999994</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1254.431511819407</v>
      </c>
      <c r="G221" s="298"/>
      <c r="H221" s="41"/>
      <c r="I221" s="254"/>
      <c r="J221" s="253"/>
      <c r="K221" s="41"/>
      <c r="L221" s="256">
        <f>SUMIFS(BV_Data_An_Cour!$P:$P,BV_Data_An_Cour!$U:$U,$B221,BV_Data_An_Cour!$V:$V,$C221,BV_Data_An_Cour!$W:$W,$L$2)</f>
        <v>1460.81</v>
      </c>
      <c r="M221" s="253"/>
      <c r="N221" s="276">
        <f t="shared" si="61"/>
        <v>206.37848818059297</v>
      </c>
      <c r="O221" s="253"/>
      <c r="P221" s="41"/>
      <c r="Q221" s="256" cm="1">
        <f t="array" ref="Q221">+SUMPRODUCT(('Réel 2024'!$A$8:$A$501=$A221)*('Réel 2024'!$C$3:$AO$3=Q$2),'Réel 2024'!$C$8:$AO$501)</f>
        <v>1045.99</v>
      </c>
      <c r="R221" s="253"/>
      <c r="S221" s="276">
        <f t="shared" si="62"/>
        <v>414.81999999999994</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649.53399893419328</v>
      </c>
      <c r="G222" s="298"/>
      <c r="H222" s="41"/>
      <c r="I222" s="254"/>
      <c r="J222" s="253"/>
      <c r="K222" s="41"/>
      <c r="L222" s="256">
        <f>SUMIFS(BV_Data_An_Cour!$P:$P,BV_Data_An_Cour!$U:$U,$B222,BV_Data_An_Cour!$V:$V,$C222,BV_Data_An_Cour!$W:$W,$L$2)</f>
        <v>2189.1999999999998</v>
      </c>
      <c r="M222" s="253"/>
      <c r="N222" s="276">
        <f t="shared" si="61"/>
        <v>1539.6660010658065</v>
      </c>
      <c r="O222" s="253"/>
      <c r="P222" s="41"/>
      <c r="Q222" s="256" cm="1">
        <f t="array" ref="Q222">+SUMPRODUCT(('Réel 2024'!$A$8:$A$501=$A222)*('Réel 2024'!$C$3:$AO$3=Q$2),'Réel 2024'!$C$8:$AO$501)</f>
        <v>668.62</v>
      </c>
      <c r="R222" s="253"/>
      <c r="S222" s="276">
        <f t="shared" si="62"/>
        <v>1520.58</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1067.1566631316734</v>
      </c>
      <c r="G223" s="298"/>
      <c r="H223" s="41"/>
      <c r="I223" s="254"/>
      <c r="J223" s="253"/>
      <c r="K223" s="41"/>
      <c r="L223" s="256">
        <f>SUMIFS(BV_Data_An_Cour!$P:$P,BV_Data_An_Cour!$U:$U,$B223,BV_Data_An_Cour!$V:$V,$C223,BV_Data_An_Cour!$W:$W,$L$2)</f>
        <v>442.53</v>
      </c>
      <c r="M223" s="253"/>
      <c r="N223" s="276">
        <f t="shared" si="61"/>
        <v>-624.62666313167347</v>
      </c>
      <c r="O223" s="253"/>
      <c r="P223" s="41"/>
      <c r="Q223" s="256" cm="1">
        <f t="array" ref="Q223">+SUMPRODUCT(('Réel 2024'!$A$8:$A$501=$A223)*('Réel 2024'!$C$3:$AO$3=Q$2),'Réel 2024'!$C$8:$AO$501)</f>
        <v>888.30000000000007</v>
      </c>
      <c r="R223" s="253"/>
      <c r="S223" s="276">
        <f t="shared" si="62"/>
        <v>-445.7700000000001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21465.593791967403</v>
      </c>
      <c r="G224" s="298"/>
      <c r="H224" s="41"/>
      <c r="I224" s="254"/>
      <c r="J224" s="253"/>
      <c r="K224" s="41"/>
      <c r="L224" s="256">
        <f>SUMIFS(BV_Data_An_Cour!$P:$P,BV_Data_An_Cour!$U:$U,$B224,BV_Data_An_Cour!$V:$V,$C224,BV_Data_An_Cour!$W:$W,$L$2)</f>
        <v>6442.13</v>
      </c>
      <c r="M224" s="253"/>
      <c r="N224" s="276">
        <f t="shared" si="61"/>
        <v>-15023.463791967402</v>
      </c>
      <c r="O224" s="253"/>
      <c r="P224" s="41"/>
      <c r="Q224" s="256" cm="1">
        <f t="array" ref="Q224">+SUMPRODUCT(('Réel 2024'!$A$8:$A$501=$A224)*('Réel 2024'!$C$3:$AO$3=Q$2),'Réel 2024'!$C$8:$AO$501)</f>
        <v>18137.170000000002</v>
      </c>
      <c r="R224" s="253"/>
      <c r="S224" s="276">
        <f t="shared" si="62"/>
        <v>-11695.04</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12245.165999397128</v>
      </c>
      <c r="G225" s="298"/>
      <c r="H225" s="41"/>
      <c r="I225" s="254"/>
      <c r="J225" s="253"/>
      <c r="K225" s="41"/>
      <c r="L225" s="256">
        <f>SUMIFS(BV_Data_An_Cour!$P:$P,BV_Data_An_Cour!$U:$U,$B225,BV_Data_An_Cour!$V:$V,$C225,BV_Data_An_Cour!$W:$W,L$2)</f>
        <v>12636.17</v>
      </c>
      <c r="M225" s="253"/>
      <c r="N225" s="276">
        <f t="shared" si="61"/>
        <v>391.00400060287211</v>
      </c>
      <c r="O225" s="253"/>
      <c r="P225" s="41"/>
      <c r="Q225" s="256" cm="1">
        <f t="array" ref="Q225">+SUMPRODUCT(('Réel 2024'!$A$8:$A$501=$A225)*('Réel 2024'!$C$3:$AO$3=Q$2),'Réel 2024'!$C$8:$AO$501)</f>
        <v>12422.16</v>
      </c>
      <c r="R225" s="253"/>
      <c r="S225" s="276">
        <f t="shared" si="62"/>
        <v>214.01000000000022</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2024'!$A$8:$A$501=$A226)*('Réel 2024'!$C$3:$AO$3=Q$2),'Réel 2024'!$C$8:$AO$501)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2024'!$A$8:$A$501=$A227)*('Réel 2024'!$C$3:$AO$3=Q$2),'Réel 2024'!$C$8:$AO$501)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2024'!$A$8:$A$501=$A228)*('Réel 2024'!$C$3:$AO$3=Q$2),'Réel 2024'!$C$8:$AO$501)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0.27554891591329389</v>
      </c>
      <c r="F229" s="307">
        <f>+SUM(F211:F228)</f>
        <v>403811.83853135543</v>
      </c>
      <c r="G229" s="308"/>
      <c r="H229" s="306"/>
      <c r="I229" s="307"/>
      <c r="J229" s="308" t="s">
        <v>175</v>
      </c>
      <c r="K229" s="306">
        <f>L229/L$194</f>
        <v>0.26005629402143177</v>
      </c>
      <c r="L229" s="307">
        <f>+SUM(L211:L228)</f>
        <v>417950.69000000006</v>
      </c>
      <c r="M229" s="311"/>
      <c r="N229" s="307">
        <f t="shared" si="61"/>
        <v>14138.851468644629</v>
      </c>
      <c r="O229" s="308" t="s">
        <v>175</v>
      </c>
      <c r="P229" s="306">
        <f>Q229/Q$194</f>
        <v>0.26886780014825196</v>
      </c>
      <c r="Q229" s="307">
        <f>+SUM(Q211:Q228)</f>
        <v>373192.8299999999</v>
      </c>
      <c r="R229" s="311"/>
      <c r="S229" s="307">
        <f t="shared" si="62"/>
        <v>44757.860000000161</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0.85546667602939286</v>
      </c>
      <c r="F231" s="307">
        <f>F210+F229</f>
        <v>1253670.5873248198</v>
      </c>
      <c r="G231" s="308"/>
      <c r="H231" s="306"/>
      <c r="I231" s="307"/>
      <c r="J231" s="308" t="s">
        <v>119</v>
      </c>
      <c r="K231" s="306">
        <f>L231/L$194</f>
        <v>0.74901718856333122</v>
      </c>
      <c r="L231" s="307">
        <f>L210+L229</f>
        <v>1203786.4800000002</v>
      </c>
      <c r="M231" s="311"/>
      <c r="N231" s="320">
        <f>L231-F231</f>
        <v>-49884.107324819546</v>
      </c>
      <c r="O231" s="308" t="s">
        <v>119</v>
      </c>
      <c r="P231" s="306">
        <f>Q231/Q$194</f>
        <v>0.88013180654218415</v>
      </c>
      <c r="Q231" s="307">
        <f>Q210+Q229</f>
        <v>1221637.1000000001</v>
      </c>
      <c r="R231" s="311"/>
      <c r="S231" s="320">
        <f>L231-Q231</f>
        <v>-17850.619999999879</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211810.91236803913</v>
      </c>
      <c r="G233" s="361"/>
      <c r="H233" s="333"/>
      <c r="I233" s="335"/>
      <c r="J233" s="332"/>
      <c r="K233" s="334"/>
      <c r="L233" s="335">
        <f>L194-L231</f>
        <v>403368.19999999972</v>
      </c>
      <c r="M233" s="332"/>
      <c r="N233" s="335">
        <f>L233-F233</f>
        <v>191557.28763196059</v>
      </c>
      <c r="O233" s="332"/>
      <c r="P233" s="334"/>
      <c r="Q233" s="335">
        <f>Q194-Q231</f>
        <v>166378.97999999905</v>
      </c>
      <c r="R233" s="332"/>
      <c r="S233" s="335">
        <f>L233-Q233</f>
        <v>236989.22000000067</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Juillet 2025</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5" t="s">
        <v>343</v>
      </c>
      <c r="E238" s="1226"/>
      <c r="F238" s="1227"/>
      <c r="G238" s="1230"/>
      <c r="H238" s="1226"/>
      <c r="I238" s="1227"/>
      <c r="J238" s="1230" t="s">
        <v>344</v>
      </c>
      <c r="K238" s="1226"/>
      <c r="L238" s="1227"/>
      <c r="M238" s="1230" t="s">
        <v>3310</v>
      </c>
      <c r="N238" s="1227"/>
      <c r="O238" s="1225" t="s">
        <v>345</v>
      </c>
      <c r="P238" s="1226"/>
      <c r="Q238" s="1227"/>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360000</v>
      </c>
      <c r="F241" s="291" cm="1">
        <f t="array" ref="F241">+SUMPRODUCT(('Budget original'!$A$8:$A$501=$A241)*('Budget original'!$C$3:$AO$3=F$2),'Budget original'!$C$8:$AO$501)</f>
        <v>79200</v>
      </c>
      <c r="G241" s="322"/>
      <c r="H241" s="291"/>
      <c r="I241" s="291"/>
      <c r="J241" s="277">
        <f>-SUMIFS(BV_Data_An_Cour!$P:$P,BV_Data_An_Cour!$U:$U,$B241,BV_Data_An_Cour!$V:$V,$C241,BV_Data_An_Cour!$W:$W,J$2)</f>
        <v>63</v>
      </c>
      <c r="K241" s="254">
        <f>-SUMIFS(BV_Data_An_Cour!$P:$P,BV_Data_An_Cour!$X:$X,"Oui",BV_Data_An_Cour!$U:$U,$B241,BV_Data_An_Cour!$V:$V,$C241)</f>
        <v>141580.98000000001</v>
      </c>
      <c r="L241" s="256">
        <f>-SUMIFS(BV_Data_An_Cour!$P:$P,BV_Data_An_Cour!$U:$U,$B241,BV_Data_An_Cour!$V:$V,$C241,BV_Data_An_Cour!$W:$W,$L$2)</f>
        <v>29506.460000000006</v>
      </c>
      <c r="M241" s="292">
        <f>IFERROR((K241-E241)/E241,0)</f>
        <v>-0.60671949999999997</v>
      </c>
      <c r="N241" s="276">
        <f>L241-F241</f>
        <v>-49693.539999999994</v>
      </c>
      <c r="O241" s="277" cm="1">
        <f t="array" ref="O241">+SUMPRODUCT(('Réel 2024'!$A$8:$A$501=$A241)*('Réel 2024'!$C$3:$AO$3=O$2),'Réel 2024'!$C$8:$AO$501)</f>
        <v>116</v>
      </c>
      <c r="P241" s="254" cm="1">
        <f t="array" ref="P241">+SUMPRODUCT(('Réel 2024'!$A$8:$A$501=$A241)*('Réel 2024'!$C$3:$AO$3=P$2),'Réel 2024'!$C$8:$AO$501)</f>
        <v>272044.77999999997</v>
      </c>
      <c r="Q241" s="256" cm="1">
        <f t="array" ref="Q241">+SUMPRODUCT(('Réel 2024'!$A$8:$A$501=$A241)*('Réel 2024'!$C$3:$AO$3=Q$2),'Réel 2024'!$C$8:$AO$501)</f>
        <v>52064.169999999904</v>
      </c>
      <c r="R241" s="292">
        <f>IF(O241=0,0,J241/O241)</f>
        <v>0.5431034482758621</v>
      </c>
      <c r="S241" s="276">
        <f>L241-Q241</f>
        <v>-22557.709999999897</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0.22</v>
      </c>
      <c r="G242" s="253"/>
      <c r="H242" s="349"/>
      <c r="I242" s="362"/>
      <c r="J242" s="277"/>
      <c r="K242" s="41"/>
      <c r="L242" s="362">
        <f>IFERROR(L241/K241,0)</f>
        <v>0.20840694844745392</v>
      </c>
      <c r="M242" s="292"/>
      <c r="N242" s="276">
        <f>IFERROR(N241/M241,0)</f>
        <v>81905.295610244924</v>
      </c>
      <c r="O242" s="277"/>
      <c r="P242" s="41"/>
      <c r="Q242" s="362">
        <f>IFERROR(Q241/P241,0)</f>
        <v>0.19138088222093402</v>
      </c>
      <c r="R242" s="277"/>
      <c r="S242" s="276">
        <f>IFERROR(S241/R241,0)</f>
        <v>-41534.831111110921</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2024'!$A$8:$A$501=$A244)*('Réel 2024'!$C$3:$AO$3=O$2),'Réel 2024'!$C$8:$AO$501)</f>
        <v>0</v>
      </c>
      <c r="P244" s="271" cm="1">
        <f t="array" ref="P244">+SUMPRODUCT(('Réel 2024'!$A$8:$A$501=$A244)*('Réel 2024'!$C$3:$AO$3=P$2),'Réel 2024'!$C$8:$AO$501)</f>
        <v>0</v>
      </c>
      <c r="Q244" s="272" cm="1">
        <f t="array" ref="Q244">+SUMPRODUCT(('Réel 2024'!$A$8:$A$501=$A244)*('Réel 2024'!$C$3:$AO$3=Q$2),'Réel 2024'!$C$8:$AO$501)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2024'!$A$8:$A$501=$A247)*('Réel 2024'!$C$3:$AO$3=O$2),'Réel 2024'!$C$8:$AO$501)</f>
        <v>0</v>
      </c>
      <c r="P247" s="254" cm="1">
        <f t="array" ref="P247">+SUMPRODUCT(('Réel 2024'!$A$8:$A$501=$A247)*('Réel 2024'!$C$3:$AO$3=P$2),'Réel 2024'!$C$8:$AO$501)</f>
        <v>0</v>
      </c>
      <c r="Q247" s="256" cm="1">
        <f t="array" ref="Q247">+SUMPRODUCT(('Réel 2024'!$A$8:$A$501=$A247)*('Réel 2024'!$C$3:$AO$3=Q$2),'Réel 2024'!$C$8:$AO$501)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360000</v>
      </c>
      <c r="F250" s="281">
        <f t="shared" si="64"/>
        <v>79200</v>
      </c>
      <c r="G250" s="282"/>
      <c r="H250" s="279"/>
      <c r="I250" s="281"/>
      <c r="J250" s="282"/>
      <c r="K250" s="279">
        <f t="shared" ref="K250:L250" si="65">K244+K247+K241</f>
        <v>141580.98000000001</v>
      </c>
      <c r="L250" s="281">
        <f t="shared" si="65"/>
        <v>29506.460000000006</v>
      </c>
      <c r="M250" s="399">
        <f>L251-F251</f>
        <v>-1.1593051552546085E-2</v>
      </c>
      <c r="N250" s="281">
        <f>L250-F250</f>
        <v>-49693.539999999994</v>
      </c>
      <c r="O250" s="282"/>
      <c r="P250" s="279">
        <f t="shared" ref="P250:Q250" si="66">P244+P247+P241</f>
        <v>272044.77999999997</v>
      </c>
      <c r="Q250" s="281">
        <f t="shared" si="66"/>
        <v>52064.169999999904</v>
      </c>
      <c r="R250" s="399">
        <f>L251-Q251</f>
        <v>1.7026066226519893E-2</v>
      </c>
      <c r="S250" s="281">
        <f>L250-Q250</f>
        <v>-22557.709999999897</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0.22</v>
      </c>
      <c r="G251" s="283"/>
      <c r="H251" s="284"/>
      <c r="I251" s="287"/>
      <c r="J251" s="283"/>
      <c r="K251" s="284"/>
      <c r="L251" s="287">
        <f>IF(K250=0,0,L250/K250)</f>
        <v>0.20840694844745392</v>
      </c>
      <c r="M251" s="286"/>
      <c r="N251" s="287">
        <f>N250/F250</f>
        <v>-0.62744368686868679</v>
      </c>
      <c r="O251" s="283"/>
      <c r="P251" s="284"/>
      <c r="Q251" s="287">
        <f>Q250/P250</f>
        <v>0.19138088222093402</v>
      </c>
      <c r="R251" s="286"/>
      <c r="S251" s="287">
        <f>IF(Q250=0,0,(S250/Q250))</f>
        <v>-0.4332674466912646</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2229.9375</v>
      </c>
      <c r="G254" s="253"/>
      <c r="H254" s="41"/>
      <c r="I254" s="254"/>
      <c r="J254" s="253"/>
      <c r="K254" s="41"/>
      <c r="L254" s="256">
        <f>SUMIFS(BV_Data_An_Cour!$P:$P,BV_Data_An_Cour!$U:$U,$B254,BV_Data_An_Cour!$V:$V,$C254,BV_Data_An_Cour!$W:$W,$L$2)</f>
        <v>6313.16</v>
      </c>
      <c r="M254" s="253"/>
      <c r="N254" s="276">
        <f t="shared" ref="N254:N284" si="67">L254-F254</f>
        <v>4083.2224999999999</v>
      </c>
      <c r="O254" s="253"/>
      <c r="P254" s="41"/>
      <c r="Q254" s="256" cm="1">
        <f t="array" ref="Q254">+SUMPRODUCT(('Réel 2024'!$A$8:$A$501=$A254)*('Réel 2024'!$C$3:$AO$3=Q$2),'Réel 2024'!$C$8:$AO$501)</f>
        <v>6313.16</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36093.784615384611</v>
      </c>
      <c r="G255" s="298"/>
      <c r="H255" s="41"/>
      <c r="I255" s="248"/>
      <c r="J255" s="253"/>
      <c r="K255" s="41"/>
      <c r="L255" s="256">
        <f>SUMIFS(BV_Data_An_Cour!$P:$P,BV_Data_An_Cour!$U:$U,$B255,BV_Data_An_Cour!$V:$V,$C255,BV_Data_An_Cour!$W:$W,$L$2)</f>
        <v>25745.74</v>
      </c>
      <c r="M255" s="253"/>
      <c r="N255" s="276">
        <f t="shared" si="67"/>
        <v>-10348.04461538461</v>
      </c>
      <c r="O255" s="253"/>
      <c r="P255" s="41"/>
      <c r="Q255" s="256" cm="1">
        <f t="array" ref="Q255">+SUMPRODUCT(('Réel 2024'!$A$8:$A$501=$A255)*('Réel 2024'!$C$3:$AO$3=Q$2),'Réel 2024'!$C$8:$AO$501)</f>
        <v>13041.66</v>
      </c>
      <c r="R255" s="253"/>
      <c r="S255" s="276">
        <f t="shared" si="68"/>
        <v>12704.080000000002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131.48076923076925</v>
      </c>
      <c r="G256" s="316"/>
      <c r="H256" s="315"/>
      <c r="I256" s="254"/>
      <c r="J256" s="241"/>
      <c r="K256" s="315"/>
      <c r="L256" s="272">
        <f>SUMIFS(BV_Data_An_Cour!$P:$P,BV_Data_An_Cour!$U:$U,$B256,BV_Data_An_Cour!$V:$V,$C256,BV_Data_An_Cour!$W:$W,$L$2)</f>
        <v>0.56000000000000005</v>
      </c>
      <c r="M256" s="241"/>
      <c r="N256" s="317">
        <f t="shared" si="67"/>
        <v>-130.92076923076925</v>
      </c>
      <c r="O256" s="241"/>
      <c r="P256" s="315"/>
      <c r="Q256" s="272" cm="1">
        <f t="array" ref="Q256">+SUMPRODUCT(('Réel 2024'!$A$8:$A$501=$A256)*('Réel 2024'!$C$3:$AO$3=Q$2),'Réel 2024'!$C$8:$AO$501)</f>
        <v>1.01</v>
      </c>
      <c r="R256" s="241"/>
      <c r="S256" s="317">
        <f t="shared" si="68"/>
        <v>-0.44999999999999996</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2024'!$A$8:$A$501=$A257)*('Réel 2024'!$C$3:$AO$3=Q$2),'Réel 2024'!$C$8:$AO$501)</f>
        <v>0</v>
      </c>
      <c r="R257" s="253"/>
      <c r="S257" s="276">
        <f t="shared" si="68"/>
        <v>0</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2024'!$A$8:$A$501=$A258)*('Réel 2024'!$C$3:$AO$3=Q$2),'Réel 2024'!$C$8:$AO$501)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2024'!$A$8:$A$501=$A259)*('Réel 2024'!$C$3:$AO$3=Q$2),'Réel 2024'!$C$8:$AO$501)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2024'!$A$8:$A$501=$A260)*('Réel 2024'!$C$3:$AO$3=Q$2),'Réel 2024'!$C$8:$AO$501)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4618.5672100961528</v>
      </c>
      <c r="G261" s="298"/>
      <c r="H261" s="41"/>
      <c r="I261" s="248"/>
      <c r="J261" s="253"/>
      <c r="K261" s="41"/>
      <c r="L261" s="256">
        <f>SUMIFS(BV_Data_An_Cour!$P:$P,BV_Data_An_Cour!$U:$U,$B261,BV_Data_An_Cour!$V:$V,$C261,BV_Data_An_Cour!$W:$W,$L$2)</f>
        <v>3501.97</v>
      </c>
      <c r="M261" s="253"/>
      <c r="N261" s="276">
        <f t="shared" si="67"/>
        <v>-1116.597210096153</v>
      </c>
      <c r="O261" s="253"/>
      <c r="P261" s="41"/>
      <c r="Q261" s="256" cm="1">
        <f t="array" ref="Q261">+SUMPRODUCT(('Réel 2024'!$A$8:$A$501=$A261)*('Réel 2024'!$C$3:$AO$3=Q$2),'Réel 2024'!$C$8:$AO$501)</f>
        <v>3945.82</v>
      </c>
      <c r="R261" s="253"/>
      <c r="S261" s="276">
        <f t="shared" si="68"/>
        <v>-443.85000000000036</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5615.5266519230763</v>
      </c>
      <c r="G262" s="316"/>
      <c r="H262" s="315"/>
      <c r="I262" s="254"/>
      <c r="J262" s="241"/>
      <c r="K262" s="315"/>
      <c r="L262" s="272">
        <f>SUMIFS(BV_Data_An_Cour!$P:$P,BV_Data_An_Cour!$U:$U,$B262,BV_Data_An_Cour!$V:$V,$C262,BV_Data_An_Cour!$W:$W,$L$2)</f>
        <v>9605.56</v>
      </c>
      <c r="M262" s="241"/>
      <c r="N262" s="317">
        <f t="shared" si="67"/>
        <v>3990.0333480769232</v>
      </c>
      <c r="O262" s="241"/>
      <c r="P262" s="315"/>
      <c r="Q262" s="272" cm="1">
        <f t="array" ref="Q262">+SUMPRODUCT(('Réel 2024'!$A$8:$A$501=$A262)*('Réel 2024'!$C$3:$AO$3=Q$2),'Réel 2024'!$C$8:$AO$501)</f>
        <v>8097.5</v>
      </c>
      <c r="R262" s="241"/>
      <c r="S262" s="317">
        <f t="shared" si="68"/>
        <v>1508.0599999999995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2893.2169924038453</v>
      </c>
      <c r="G263" s="298"/>
      <c r="H263" s="41"/>
      <c r="I263" s="254"/>
      <c r="J263" s="253"/>
      <c r="K263" s="41"/>
      <c r="L263" s="256">
        <f>SUMIFS(BV_Data_An_Cour!$P:$P,BV_Data_An_Cour!$U:$U,$B263,BV_Data_An_Cour!$V:$V,$C263,BV_Data_An_Cour!$W:$W,$L$2)</f>
        <v>1837.42</v>
      </c>
      <c r="M263" s="253"/>
      <c r="N263" s="276">
        <f t="shared" si="67"/>
        <v>-1055.7969924038453</v>
      </c>
      <c r="O263" s="253"/>
      <c r="P263" s="41"/>
      <c r="Q263" s="256" cm="1">
        <f t="array" ref="Q263">+SUMPRODUCT(('Réel 2024'!$A$8:$A$501=$A263)*('Réel 2024'!$C$3:$AO$3=Q$2),'Réel 2024'!$C$8:$AO$501)</f>
        <v>2079.29</v>
      </c>
      <c r="R263" s="253"/>
      <c r="S263" s="276">
        <f t="shared" si="68"/>
        <v>-241.86999999999989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1261.4588855769227</v>
      </c>
      <c r="G264" s="298"/>
      <c r="H264" s="41"/>
      <c r="I264" s="254"/>
      <c r="J264" s="253"/>
      <c r="K264" s="41"/>
      <c r="L264" s="256">
        <f>SUMIFS(BV_Data_An_Cour!$P:$P,BV_Data_An_Cour!$U:$U,$B264,BV_Data_An_Cour!$V:$V,$C264,BV_Data_An_Cour!$W:$W,$L$2)</f>
        <v>1650.78</v>
      </c>
      <c r="M264" s="253"/>
      <c r="N264" s="276">
        <f t="shared" si="67"/>
        <v>389.32111442307723</v>
      </c>
      <c r="O264" s="253"/>
      <c r="P264" s="41"/>
      <c r="Q264" s="256" cm="1">
        <f t="array" ref="Q264">+SUMPRODUCT(('Réel 2024'!$A$8:$A$501=$A264)*('Réel 2024'!$C$3:$AO$3=Q$2),'Réel 2024'!$C$8:$AO$501)</f>
        <v>821.30000000000018</v>
      </c>
      <c r="R264" s="253"/>
      <c r="S264" s="276">
        <f t="shared" si="68"/>
        <v>829.47999999999979</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2024'!$A$2:$AO$501,MATCH($A265,'Réel 2024'!$A$2:$A$501,0),MATCH(Q$2,'Réel 2024'!$A$2:$AO$2,0))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52843.97262461538</v>
      </c>
      <c r="G266" s="308"/>
      <c r="H266" s="306"/>
      <c r="I266" s="307"/>
      <c r="J266" s="308" t="s">
        <v>119</v>
      </c>
      <c r="K266" s="306">
        <f>IF(L244=0,0,L266/L$244)</f>
        <v>0</v>
      </c>
      <c r="L266" s="307">
        <f>+SUM(L254:L265)</f>
        <v>48655.189999999995</v>
      </c>
      <c r="M266" s="355"/>
      <c r="N266" s="320">
        <f t="shared" si="67"/>
        <v>-4188.7826246153854</v>
      </c>
      <c r="O266" s="308" t="s">
        <v>119</v>
      </c>
      <c r="P266" s="306" t="e">
        <f>Q266/Q$244</f>
        <v>#DIV/0!</v>
      </c>
      <c r="Q266" s="307">
        <f>+SUM(Q254:Q265)</f>
        <v>34299.74</v>
      </c>
      <c r="R266" s="355"/>
      <c r="S266" s="320">
        <f t="shared" si="68"/>
        <v>14355.449999999997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338.33333333333331</v>
      </c>
      <c r="G267" s="298"/>
      <c r="H267" s="41"/>
      <c r="I267" s="254"/>
      <c r="J267" s="253"/>
      <c r="K267" s="41"/>
      <c r="L267" s="256">
        <f>SUMIFS(BV_Data_An_Cour!$P:$P,BV_Data_An_Cour!$U:$U,$B267,BV_Data_An_Cour!$V:$V,$C267,BV_Data_An_Cour!$W:$W,$L$2)</f>
        <v>226.59</v>
      </c>
      <c r="M267" s="253"/>
      <c r="N267" s="276">
        <f t="shared" si="67"/>
        <v>-111.74333333333331</v>
      </c>
      <c r="O267" s="253"/>
      <c r="P267" s="41"/>
      <c r="Q267" s="256" cm="1">
        <f t="array" ref="Q267">+SUMPRODUCT(('Réel 2024'!$A$8:$A$501=$A267)*('Réel 2024'!$C$3:$AO$3=Q$2),'Réel 2024'!$C$8:$AO$501)</f>
        <v>537.36</v>
      </c>
      <c r="R267" s="253"/>
      <c r="S267" s="276">
        <f t="shared" si="68"/>
        <v>-310.77</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3931.745868963998</v>
      </c>
      <c r="G268" s="298"/>
      <c r="H268" s="41"/>
      <c r="I268" s="254"/>
      <c r="J268" s="253"/>
      <c r="K268" s="41"/>
      <c r="L268" s="256">
        <f>SUMIFS(BV_Data_An_Cour!$P:$P,BV_Data_An_Cour!$U:$U,$B268,BV_Data_An_Cour!$V:$V,$C268,BV_Data_An_Cour!$W:$W,$L$2)</f>
        <v>12326.72</v>
      </c>
      <c r="M268" s="253"/>
      <c r="N268" s="276">
        <f t="shared" si="67"/>
        <v>8394.9741310360005</v>
      </c>
      <c r="O268" s="253"/>
      <c r="P268" s="41"/>
      <c r="Q268" s="256" cm="1">
        <f t="array" ref="Q268">+SUMPRODUCT(('Réel 2024'!$A$8:$A$501=$A268)*('Réel 2024'!$C$3:$AO$3=Q$2),'Réel 2024'!$C$8:$AO$501)</f>
        <v>3462.35</v>
      </c>
      <c r="R268" s="253"/>
      <c r="S268" s="276">
        <f t="shared" si="68"/>
        <v>8864.369999999999</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871.52520000000004</v>
      </c>
      <c r="G269" s="300"/>
      <c r="H269" s="318"/>
      <c r="I269" s="248"/>
      <c r="J269" s="246"/>
      <c r="K269" s="318"/>
      <c r="L269" s="256">
        <f>SUMIFS(BV_Data_An_Cour!$P:$P,BV_Data_An_Cour!$U:$U,$B269,BV_Data_An_Cour!$V:$V,$C269,BV_Data_An_Cour!$W:$W,$L$2)</f>
        <v>1144.67</v>
      </c>
      <c r="M269" s="246"/>
      <c r="N269" s="296">
        <f t="shared" si="67"/>
        <v>273.14480000000003</v>
      </c>
      <c r="O269" s="246"/>
      <c r="P269" s="318"/>
      <c r="Q269" s="256" cm="1">
        <f t="array" ref="Q269">+SUMPRODUCT(('Réel 2024'!$A$8:$A$501=$A269)*('Réel 2024'!$C$3:$AO$3=Q$2),'Réel 2024'!$C$8:$AO$501)</f>
        <v>1144.67</v>
      </c>
      <c r="R269" s="246"/>
      <c r="S269" s="296">
        <f t="shared" si="68"/>
        <v>0</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10152.988203664443</v>
      </c>
      <c r="G270" s="298"/>
      <c r="H270" s="41"/>
      <c r="I270" s="254"/>
      <c r="J270" s="253"/>
      <c r="K270" s="41"/>
      <c r="L270" s="272">
        <f>SUMIFS(BV_Data_An_Cour!$P:$P,BV_Data_An_Cour!$U:$U,$B270,BV_Data_An_Cour!$V:$V,$C270,BV_Data_An_Cour!$W:$W,$L$2)</f>
        <v>11932.2</v>
      </c>
      <c r="M270" s="253"/>
      <c r="N270" s="276">
        <f t="shared" si="67"/>
        <v>1779.2117963355577</v>
      </c>
      <c r="O270" s="253"/>
      <c r="P270" s="41"/>
      <c r="Q270" s="272" cm="1">
        <f t="array" ref="Q270">+SUMPRODUCT(('Réel 2024'!$A$8:$A$501=$A270)*('Réel 2024'!$C$3:$AO$3=Q$2),'Réel 2024'!$C$8:$AO$501)</f>
        <v>9169.6299999999992</v>
      </c>
      <c r="R270" s="253"/>
      <c r="S270" s="276">
        <f t="shared" si="68"/>
        <v>2762.5700000000015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1498.267668650074</v>
      </c>
      <c r="G271" s="298"/>
      <c r="H271" s="41"/>
      <c r="I271" s="254"/>
      <c r="J271" s="253"/>
      <c r="K271" s="41"/>
      <c r="L271" s="256">
        <f>SUMIFS(BV_Data_An_Cour!$P:$P,BV_Data_An_Cour!$U:$U,$B271,BV_Data_An_Cour!$V:$V,$C271,BV_Data_An_Cour!$W:$W,$L$2)</f>
        <v>1854.04</v>
      </c>
      <c r="M271" s="253"/>
      <c r="N271" s="276">
        <f t="shared" si="67"/>
        <v>355.77233134992593</v>
      </c>
      <c r="O271" s="253"/>
      <c r="P271" s="41"/>
      <c r="Q271" s="256" cm="1">
        <f t="array" ref="Q271">+SUMPRODUCT(('Réel 2024'!$A$8:$A$501=$A271)*('Réel 2024'!$C$3:$AO$3=Q$2),'Réel 2024'!$C$8:$AO$501)</f>
        <v>1550.8600000000001</v>
      </c>
      <c r="R271" s="253"/>
      <c r="S271" s="276">
        <f t="shared" si="68"/>
        <v>303.17999999999984</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4810.027210467365</v>
      </c>
      <c r="G272" s="300"/>
      <c r="H272" s="318"/>
      <c r="I272" s="248"/>
      <c r="J272" s="246"/>
      <c r="K272" s="318"/>
      <c r="L272" s="256">
        <f>SUMIFS(BV_Data_An_Cour!$P:$P,BV_Data_An_Cour!$U:$U,$B272,BV_Data_An_Cour!$V:$V,$C272,BV_Data_An_Cour!$W:$W,$L$2)</f>
        <v>6028.45</v>
      </c>
      <c r="M272" s="246"/>
      <c r="N272" s="296">
        <f t="shared" si="67"/>
        <v>1218.4227895326349</v>
      </c>
      <c r="O272" s="246"/>
      <c r="P272" s="318"/>
      <c r="Q272" s="248" cm="1">
        <f t="array" ref="Q272">+SUMPRODUCT(('Réel 2024'!$A$8:$A$501=$A272)*('Réel 2024'!$C$3:$AO$3=Q$2),'Réel 2024'!$C$8:$AO$501)</f>
        <v>4958.29</v>
      </c>
      <c r="R272" s="246"/>
      <c r="S272" s="296">
        <f t="shared" si="68"/>
        <v>1070.1599999999999</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321.66073333333333</v>
      </c>
      <c r="G274" s="298"/>
      <c r="H274" s="41"/>
      <c r="I274" s="254"/>
      <c r="J274" s="253"/>
      <c r="K274" s="41"/>
      <c r="L274" s="256">
        <f>SUMIFS(BV_Data_An_Cour!$P:$P,BV_Data_An_Cour!$U:$U,$B274,BV_Data_An_Cour!$V:$V,$C274,BV_Data_An_Cour!$W:$W,$L$2)</f>
        <v>0</v>
      </c>
      <c r="M274" s="253"/>
      <c r="N274" s="276">
        <f t="shared" si="67"/>
        <v>-321.66073333333333</v>
      </c>
      <c r="O274" s="253"/>
      <c r="P274" s="41"/>
      <c r="Q274" s="256" cm="1">
        <f t="array" ref="Q274">+SUMPRODUCT(('Réel 2024'!$A$8:$A$501=$A274)*('Réel 2024'!$C$3:$AO$3=Q$2),'Réel 2024'!$C$8:$AO$501)</f>
        <v>11.73</v>
      </c>
      <c r="R274" s="253"/>
      <c r="S274" s="276">
        <f t="shared" si="68"/>
        <v>-11.73</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198.33333333333334</v>
      </c>
      <c r="G275" s="298"/>
      <c r="H275" s="41"/>
      <c r="I275" s="254"/>
      <c r="J275" s="253"/>
      <c r="K275" s="41"/>
      <c r="L275" s="256">
        <f>SUMIFS(BV_Data_An_Cour!$P:$P,BV_Data_An_Cour!$U:$U,$B275,BV_Data_An_Cour!$V:$V,$C275,BV_Data_An_Cour!$W:$W,$L$2)</f>
        <v>0</v>
      </c>
      <c r="M275" s="253"/>
      <c r="N275" s="276">
        <f t="shared" si="67"/>
        <v>-198.33333333333334</v>
      </c>
      <c r="O275" s="253"/>
      <c r="P275" s="41"/>
      <c r="Q275" s="256" cm="1">
        <f t="array" ref="Q275">+SUMPRODUCT(('Réel 2024'!$A$8:$A$501=$A275)*('Réel 2024'!$C$3:$AO$3=Q$2),'Réel 2024'!$C$8:$AO$501)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1023.6582793683397</v>
      </c>
      <c r="G276" s="298"/>
      <c r="H276" s="41"/>
      <c r="I276" s="254"/>
      <c r="J276" s="253"/>
      <c r="K276" s="41"/>
      <c r="L276" s="256">
        <f>SUMIFS(BV_Data_An_Cour!$P:$P,BV_Data_An_Cour!$U:$U,$B276,BV_Data_An_Cour!$V:$V,$C276,BV_Data_An_Cour!$W:$W,$L$2)</f>
        <v>761.11</v>
      </c>
      <c r="M276" s="253"/>
      <c r="N276" s="276">
        <f t="shared" si="67"/>
        <v>-262.54827936833965</v>
      </c>
      <c r="O276" s="253"/>
      <c r="P276" s="41"/>
      <c r="Q276" s="256" cm="1">
        <f t="array" ref="Q276">+SUMPRODUCT(('Réel 2024'!$A$8:$A$501=$A276)*('Réel 2024'!$C$3:$AO$3=Q$2),'Réel 2024'!$C$8:$AO$501)</f>
        <v>864.95999999999992</v>
      </c>
      <c r="R276" s="253"/>
      <c r="S276" s="276">
        <f t="shared" si="68"/>
        <v>-103.84999999999991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226.58282728066027</v>
      </c>
      <c r="G277" s="298"/>
      <c r="H277" s="41"/>
      <c r="I277" s="254"/>
      <c r="J277" s="253"/>
      <c r="K277" s="41"/>
      <c r="L277" s="256">
        <f>SUMIFS(BV_Data_An_Cour!$P:$P,BV_Data_An_Cour!$U:$U,$B277,BV_Data_An_Cour!$V:$V,$C277,BV_Data_An_Cour!$W:$W,$L$2)</f>
        <v>186.47</v>
      </c>
      <c r="M277" s="253"/>
      <c r="N277" s="276">
        <f t="shared" si="67"/>
        <v>-40.112827280660269</v>
      </c>
      <c r="O277" s="253"/>
      <c r="P277" s="41"/>
      <c r="Q277" s="256" cm="1">
        <f t="array" ref="Q277">+SUMPRODUCT(('Réel 2024'!$A$8:$A$501=$A277)*('Réel 2024'!$C$3:$AO$3=Q$2),'Réel 2024'!$C$8:$AO$501)</f>
        <v>189.4</v>
      </c>
      <c r="R277" s="253"/>
      <c r="S277" s="276">
        <f t="shared" si="68"/>
        <v>-2.9300000000000068</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157.44469181413976</v>
      </c>
      <c r="G278" s="298"/>
      <c r="H278" s="41"/>
      <c r="I278" s="254"/>
      <c r="J278" s="253"/>
      <c r="K278" s="41"/>
      <c r="L278" s="256">
        <f>SUMIFS(BV_Data_An_Cour!$P:$P,BV_Data_An_Cour!$U:$U,$B278,BV_Data_An_Cour!$V:$V,$C278,BV_Data_An_Cour!$W:$W,$L$2)</f>
        <v>451.69</v>
      </c>
      <c r="M278" s="253"/>
      <c r="N278" s="276">
        <f t="shared" si="67"/>
        <v>294.24530818586027</v>
      </c>
      <c r="O278" s="253"/>
      <c r="P278" s="41"/>
      <c r="Q278" s="256" cm="1">
        <f t="array" ref="Q278">+SUMPRODUCT(('Réel 2024'!$A$8:$A$501=$A278)*('Réel 2024'!$C$3:$AO$3=Q$2),'Réel 2024'!$C$8:$AO$501)</f>
        <v>163.32000000000002</v>
      </c>
      <c r="R278" s="253"/>
      <c r="S278" s="276">
        <f t="shared" si="68"/>
        <v>288.37</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720.3354725384047</v>
      </c>
      <c r="G279" s="298"/>
      <c r="H279" s="41"/>
      <c r="I279" s="254"/>
      <c r="J279" s="253"/>
      <c r="K279" s="41"/>
      <c r="L279" s="256">
        <f>SUMIFS(BV_Data_An_Cour!$P:$P,BV_Data_An_Cour!$U:$U,$B279,BV_Data_An_Cour!$V:$V,$C279,BV_Data_An_Cour!$W:$W,$L$2)</f>
        <v>129.09</v>
      </c>
      <c r="M279" s="253"/>
      <c r="N279" s="276">
        <f t="shared" si="67"/>
        <v>-591.24547253840467</v>
      </c>
      <c r="O279" s="253"/>
      <c r="P279" s="41"/>
      <c r="Q279" s="256" cm="1">
        <f t="array" ref="Q279">+SUMPRODUCT(('Réel 2024'!$A$8:$A$501=$A279)*('Réel 2024'!$C$3:$AO$3=Q$2),'Réel 2024'!$C$8:$AO$501)</f>
        <v>259.15999999999997</v>
      </c>
      <c r="R279" s="253"/>
      <c r="S279" s="276">
        <f t="shared" si="68"/>
        <v>-130.06999999999996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1228.490912508878</v>
      </c>
      <c r="G280" s="298"/>
      <c r="H280" s="41"/>
      <c r="I280" s="254"/>
      <c r="J280" s="253"/>
      <c r="K280" s="41"/>
      <c r="L280" s="256">
        <f>SUMIFS(BV_Data_An_Cour!$P:$P,BV_Data_An_Cour!$U:$U,$B280,BV_Data_An_Cour!$V:$V,$C280,BV_Data_An_Cour!$W:$W,$L$2)</f>
        <v>404.73</v>
      </c>
      <c r="M280" s="253"/>
      <c r="N280" s="276">
        <f t="shared" si="67"/>
        <v>-823.76091250887794</v>
      </c>
      <c r="O280" s="253"/>
      <c r="P280" s="41"/>
      <c r="Q280" s="256" cm="1">
        <f t="array" ref="Q280">+SUMPRODUCT(('Réel 2024'!$A$8:$A$501=$A280)*('Réel 2024'!$C$3:$AO$3=Q$2),'Réel 2024'!$C$8:$AO$501)</f>
        <v>305.05999999999995</v>
      </c>
      <c r="R280" s="253"/>
      <c r="S280" s="276">
        <f t="shared" si="68"/>
        <v>99.670000000000073</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1335.2934629361828</v>
      </c>
      <c r="G281" s="298"/>
      <c r="H281" s="41"/>
      <c r="I281" s="254"/>
      <c r="J281" s="253"/>
      <c r="K281" s="41"/>
      <c r="L281" s="256">
        <f>SUMIFS(BV_Data_An_Cour!$P:$P,BV_Data_An_Cour!$U:$U,$B281,BV_Data_An_Cour!$V:$V,$C281,BV_Data_An_Cour!$W:$W,L$2)</f>
        <v>1404.06</v>
      </c>
      <c r="M281" s="253"/>
      <c r="N281" s="276">
        <f t="shared" si="67"/>
        <v>68.766537063817168</v>
      </c>
      <c r="O281" s="253"/>
      <c r="P281" s="41"/>
      <c r="Q281" s="256" cm="1">
        <f t="array" ref="Q281">+SUMPRODUCT(('Réel 2024'!$A$8:$A$501=$A281)*('Réel 2024'!$C$3:$AO$3=Q$2),'Réel 2024'!$C$8:$AO$501)</f>
        <v>1380.2800000000002</v>
      </c>
      <c r="R281" s="253"/>
      <c r="S281" s="276">
        <f t="shared" si="68"/>
        <v>23.779999999999745</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2024'!$A$8:$A$501=$A282)*('Réel 2024'!$C$3:$AO$3=Q$2),'Réel 2024'!$C$8:$AO$501)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2024'!$A$8:$A$501=$A283)*('Réel 2024'!$C$3:$AO$3=Q$2),'Réel 2024'!$C$8:$AO$501)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2024'!$A$8:$A$501=$A284)*('Réel 2024'!$C$3:$AO$3=Q$2),'Réel 2024'!$C$8:$AO$501)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0.33856928280546073</v>
      </c>
      <c r="F285" s="307">
        <f>+SUM(F267:F284)</f>
        <v>26814.687198192489</v>
      </c>
      <c r="G285" s="308"/>
      <c r="H285" s="306"/>
      <c r="I285" s="307"/>
      <c r="J285" s="308" t="s">
        <v>119</v>
      </c>
      <c r="K285" s="306">
        <f>IF(L262=0,0,L285/L$241)</f>
        <v>1.2488729586673559</v>
      </c>
      <c r="L285" s="307">
        <f>+SUM(L267:L284)</f>
        <v>36849.82</v>
      </c>
      <c r="M285" s="311"/>
      <c r="N285" s="307">
        <f>+SUM(N267:N284)</f>
        <v>10035.132801807511</v>
      </c>
      <c r="O285" s="308" t="s">
        <v>119</v>
      </c>
      <c r="P285" s="306">
        <f>IF(Q250=0,0,Q285/Q$250)</f>
        <v>0.46091333060721112</v>
      </c>
      <c r="Q285" s="307">
        <f>+SUM(Q267:Q284)</f>
        <v>23997.07</v>
      </c>
      <c r="R285" s="311"/>
      <c r="S285" s="307">
        <f t="shared" si="68"/>
        <v>12852.75</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1.0057911593788873</v>
      </c>
      <c r="F287" s="307">
        <f>F266+F285</f>
        <v>79658.659822807866</v>
      </c>
      <c r="G287" s="308"/>
      <c r="H287" s="306"/>
      <c r="I287" s="307"/>
      <c r="J287" s="308" t="s">
        <v>119</v>
      </c>
      <c r="K287" s="306" t="e">
        <f>IF(L264=0,0,L287/L$244)</f>
        <v>#DIV/0!</v>
      </c>
      <c r="L287" s="307">
        <f>L266+L285</f>
        <v>85505.01</v>
      </c>
      <c r="M287" s="311"/>
      <c r="N287" s="320">
        <f>L287-F287</f>
        <v>5846.3501771921292</v>
      </c>
      <c r="O287" s="308" t="s">
        <v>119</v>
      </c>
      <c r="P287" s="306">
        <f>IF(Q250=0,0,Q287/Q$250)</f>
        <v>1.1197107338885861</v>
      </c>
      <c r="Q287" s="307">
        <f>Q266+Q285</f>
        <v>58296.81</v>
      </c>
      <c r="R287" s="311"/>
      <c r="S287" s="320">
        <f>L287-Q287</f>
        <v>27208.199999999997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-458.65982280786557</v>
      </c>
      <c r="G289" s="361"/>
      <c r="H289" s="333"/>
      <c r="I289" s="335"/>
      <c r="J289" s="332"/>
      <c r="K289" s="334"/>
      <c r="L289" s="335">
        <f>L250-L287</f>
        <v>-55998.549999999988</v>
      </c>
      <c r="M289" s="332"/>
      <c r="N289" s="335">
        <f>L289-F289</f>
        <v>-55539.890177192123</v>
      </c>
      <c r="O289" s="332"/>
      <c r="P289" s="334"/>
      <c r="Q289" s="335">
        <f>Q250-Q287</f>
        <v>-6232.640000000094</v>
      </c>
      <c r="R289" s="332"/>
      <c r="S289" s="335">
        <f>L289-Q289</f>
        <v>-49765.909999999894</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Juillet 2025</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5" t="s">
        <v>343</v>
      </c>
      <c r="E293" s="1226"/>
      <c r="F293" s="1227"/>
      <c r="G293" s="1230"/>
      <c r="H293" s="1226"/>
      <c r="I293" s="1227"/>
      <c r="J293" s="1230" t="s">
        <v>344</v>
      </c>
      <c r="K293" s="1226"/>
      <c r="L293" s="1227"/>
      <c r="M293" s="1230" t="s">
        <v>3310</v>
      </c>
      <c r="N293" s="1227"/>
      <c r="O293" s="1225" t="s">
        <v>345</v>
      </c>
      <c r="P293" s="1226"/>
      <c r="Q293" s="1227"/>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602450.73823999998</v>
      </c>
      <c r="E295" s="353">
        <f t="shared" ref="E295:E303" si="70">IF(D295=0,0,F295/D295)</f>
        <v>0.35699999999999998</v>
      </c>
      <c r="F295" s="276" cm="1">
        <f t="array" ref="F295">+SUMPRODUCT(('Budget original'!$A$8:$A$501=$A295)*('Budget original'!$C$3:$AO$3=F$2),'Budget original'!$C$8:$AO$501)</f>
        <v>215074.91355167999</v>
      </c>
      <c r="G295" s="291"/>
      <c r="H295" s="353"/>
      <c r="I295" s="276"/>
      <c r="J295" s="254">
        <f>-SUMIFS(BV_Data_An_Cour!$P:$P,BV_Data_An_Cour!$X:$X,"Oui",BV_Data_An_Cour!$U:$U,$B295,BV_Data_An_Cour!$V:$V,$C295)</f>
        <v>575186.19000000006</v>
      </c>
      <c r="K295" s="353">
        <f t="shared" ref="K295:K304" si="71">IF(J295&lt;=0,0,L295/J295)</f>
        <v>0.32271758819522428</v>
      </c>
      <c r="L295" s="256">
        <f>-SUMIFS(BV_Data_An_Cour!$P:$P,BV_Data_An_Cour!$U:$U,$B295,BV_Data_An_Cour!$V:$V,$C295,BV_Data_An_Cour!$W:$W,$L$2)</f>
        <v>185622.70000000004</v>
      </c>
      <c r="M295" s="292">
        <f t="shared" ref="M295:M301" si="72">(+J295-D295)/D295</f>
        <v>-4.5256062461887903E-2</v>
      </c>
      <c r="N295" s="276">
        <f t="shared" ref="N295:N304" si="73">L295-F295</f>
        <v>-29452.213551679946</v>
      </c>
      <c r="O295" s="254" cm="1">
        <f t="array" ref="O295">+SUMPRODUCT(('Réel 2024'!$A$8:$A$501=$A295)*('Réel 2024'!$C$3:$AO$3=O$2),'Réel 2024'!$C$8:$AO$501)</f>
        <v>577302.61</v>
      </c>
      <c r="P295" s="353">
        <f t="shared" ref="P295:P303" si="74">IF(O295=0,0,Q295/O295)</f>
        <v>0.3661147487277075</v>
      </c>
      <c r="Q295" s="256" cm="1">
        <f t="array" ref="Q295">+SUMPRODUCT(('Réel 2024'!$A$8:$A$501=$A295)*('Réel 2024'!$C$3:$AO$3=Q$2),'Réel 2024'!$C$8:$AO$501)</f>
        <v>211358.99999999971</v>
      </c>
      <c r="R295" s="292">
        <f t="shared" ref="R295:R304" si="75">IF(O295=0,0,(J295-O295)/O295)</f>
        <v>-3.6660495957222946E-3</v>
      </c>
      <c r="S295" s="276">
        <f t="shared" ref="S295:S304" si="76">L295-Q295</f>
        <v>-25736.299999999668</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216000</v>
      </c>
      <c r="E296" s="353">
        <f t="shared" si="70"/>
        <v>0.24800000000000003</v>
      </c>
      <c r="F296" s="276" cm="1">
        <f t="array" ref="F296">+SUMPRODUCT(('Budget original'!$A$8:$A$501=$A296)*('Budget original'!$C$3:$AO$3=F$2),'Budget original'!$C$8:$AO$501)</f>
        <v>53568.000000000007</v>
      </c>
      <c r="G296" s="291"/>
      <c r="H296" s="353"/>
      <c r="I296" s="276"/>
      <c r="J296" s="254">
        <f>-SUMIFS(BV_Data_An_Cour!$P:$P,BV_Data_An_Cour!$X:$X,"Oui",BV_Data_An_Cour!$U:$U,$B296,BV_Data_An_Cour!$V:$V,$C296)</f>
        <v>50025.53</v>
      </c>
      <c r="K296" s="353">
        <f t="shared" si="71"/>
        <v>0.23516312570801337</v>
      </c>
      <c r="L296" s="256">
        <f>-SUMIFS(BV_Data_An_Cour!$P:$P,BV_Data_An_Cour!$U:$U,$B296,BV_Data_An_Cour!$V:$V,$C296,BV_Data_An_Cour!$W:$W,$L$2)</f>
        <v>11764.159999999994</v>
      </c>
      <c r="M296" s="292">
        <f t="shared" si="72"/>
        <v>-0.7684003240740741</v>
      </c>
      <c r="N296" s="276">
        <f t="shared" si="73"/>
        <v>-41803.840000000011</v>
      </c>
      <c r="O296" s="254" cm="1">
        <f t="array" ref="O296">+SUMPRODUCT(('Réel 2024'!$A$8:$A$501=$A296)*('Réel 2024'!$C$3:$AO$3=O$2),'Réel 2024'!$C$8:$AO$501)</f>
        <v>164227.42999999991</v>
      </c>
      <c r="P296" s="353">
        <f t="shared" si="74"/>
        <v>0.24869347343497922</v>
      </c>
      <c r="Q296" s="256" cm="1">
        <f t="array" ref="Q296">+SUMPRODUCT(('Réel 2024'!$A$8:$A$501=$A296)*('Réel 2024'!$C$3:$AO$3=Q$2),'Réel 2024'!$C$8:$AO$501)</f>
        <v>40842.289999999884</v>
      </c>
      <c r="R296" s="292">
        <f t="shared" si="75"/>
        <v>-0.69538870577223288</v>
      </c>
      <c r="S296" s="276">
        <f t="shared" si="76"/>
        <v>-29078.129999999888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298096.15499999997</v>
      </c>
      <c r="E297" s="353">
        <f t="shared" si="70"/>
        <v>0.23700000000000002</v>
      </c>
      <c r="F297" s="276" cm="1">
        <f t="array" ref="F297">+SUMPRODUCT(('Budget original'!$A$8:$A$501=$A297)*('Budget original'!$C$3:$AO$3=F$2),'Budget original'!$C$8:$AO$501)</f>
        <v>70648.788734999995</v>
      </c>
      <c r="G297" s="291"/>
      <c r="H297" s="353"/>
      <c r="I297" s="276"/>
      <c r="J297" s="254">
        <f>-SUMIFS(BV_Data_An_Cour!$P:$P,BV_Data_An_Cour!$X:$X,"Oui",BV_Data_An_Cour!$U:$U,$B297,BV_Data_An_Cour!$V:$V,$C297)</f>
        <v>615082.41</v>
      </c>
      <c r="K297" s="353">
        <f t="shared" si="71"/>
        <v>0.23362126385633433</v>
      </c>
      <c r="L297" s="256">
        <f>-SUMIFS(BV_Data_An_Cour!$P:$P,BV_Data_An_Cour!$U:$U,$B297,BV_Data_An_Cour!$V:$V,$C297,BV_Data_An_Cour!$W:$W,$L$2)</f>
        <v>143696.33000000002</v>
      </c>
      <c r="M297" s="292">
        <f t="shared" si="72"/>
        <v>1.0633691501321112</v>
      </c>
      <c r="N297" s="276">
        <f t="shared" si="73"/>
        <v>73047.541265000022</v>
      </c>
      <c r="O297" s="254" cm="1">
        <f t="array" ref="O297">+SUMPRODUCT(('Réel 2024'!$A$8:$A$501=$A297)*('Réel 2024'!$C$3:$AO$3=O$2),'Réel 2024'!$C$8:$AO$501)</f>
        <v>269739.92</v>
      </c>
      <c r="P297" s="353">
        <f t="shared" si="74"/>
        <v>0.23463987088006807</v>
      </c>
      <c r="Q297" s="256" cm="1">
        <f t="array" ref="Q297">+SUMPRODUCT(('Réel 2024'!$A$8:$A$501=$A297)*('Réel 2024'!$C$3:$AO$3=Q$2),'Réel 2024'!$C$8:$AO$501)</f>
        <v>63291.739999999889</v>
      </c>
      <c r="R297" s="292">
        <f t="shared" si="75"/>
        <v>1.2802795003424041</v>
      </c>
      <c r="S297" s="276">
        <f t="shared" si="76"/>
        <v>80404.590000000127</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392095.24199999991</v>
      </c>
      <c r="E298" s="353">
        <f t="shared" si="70"/>
        <v>0.29400000000000004</v>
      </c>
      <c r="F298" s="276" cm="1">
        <f t="array" ref="F298">+SUMPRODUCT(('Budget original'!$A$8:$A$501=$A298)*('Budget original'!$C$3:$AO$3=F$2),'Budget original'!$C$8:$AO$501)</f>
        <v>115276.00114799998</v>
      </c>
      <c r="G298" s="291"/>
      <c r="H298" s="353"/>
      <c r="I298" s="276"/>
      <c r="J298" s="254">
        <f>-SUMIFS(BV_Data_An_Cour!$P:$P,BV_Data_An_Cour!$X:$X,"Oui",BV_Data_An_Cour!$U:$U,$B298,BV_Data_An_Cour!$V:$V,$C298)</f>
        <v>439829.62</v>
      </c>
      <c r="K298" s="353">
        <f t="shared" si="71"/>
        <v>0.28300947535093252</v>
      </c>
      <c r="L298" s="256">
        <f>-SUMIFS(BV_Data_An_Cour!$P:$P,BV_Data_An_Cour!$U:$U,$B298,BV_Data_An_Cour!$V:$V,$C298,BV_Data_An_Cour!$W:$W,$L$2)</f>
        <v>124475.95000000001</v>
      </c>
      <c r="M298" s="292">
        <f t="shared" si="72"/>
        <v>0.12174179354107055</v>
      </c>
      <c r="N298" s="276">
        <f t="shared" si="73"/>
        <v>9199.9488520000305</v>
      </c>
      <c r="O298" s="254" cm="1">
        <f t="array" ref="O298">+SUMPRODUCT(('Réel 2024'!$A$8:$A$501=$A298)*('Réel 2024'!$C$3:$AO$3=O$2),'Réel 2024'!$C$8:$AO$501)</f>
        <v>351008.66000000003</v>
      </c>
      <c r="P298" s="353">
        <f t="shared" si="74"/>
        <v>0.2837373585027782</v>
      </c>
      <c r="Q298" s="256" cm="1">
        <f t="array" ref="Q298">+SUMPRODUCT(('Réel 2024'!$A$8:$A$501=$A298)*('Réel 2024'!$C$3:$AO$3=Q$2),'Réel 2024'!$C$8:$AO$501)</f>
        <v>99594.269999999786</v>
      </c>
      <c r="R298" s="292">
        <f t="shared" si="75"/>
        <v>0.25304492487450297</v>
      </c>
      <c r="S298" s="276">
        <f t="shared" si="76"/>
        <v>24881.680000000226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128993.462</v>
      </c>
      <c r="E299" s="353">
        <f t="shared" si="70"/>
        <v>0.27700000000000002</v>
      </c>
      <c r="F299" s="276" cm="1">
        <f t="array" ref="F299">+SUMPRODUCT(('Budget original'!$A$8:$A$501=$A299)*('Budget original'!$C$3:$AO$3=F$2),'Budget original'!$C$8:$AO$501)</f>
        <v>35731.188974000004</v>
      </c>
      <c r="G299" s="291"/>
      <c r="H299" s="353"/>
      <c r="I299" s="276"/>
      <c r="J299" s="254">
        <f>-SUMIFS(BV_Data_An_Cour!$P:$P,BV_Data_An_Cour!$X:$X,"Oui",BV_Data_An_Cour!$U:$U,$B299,BV_Data_An_Cour!$V:$V,$C299)</f>
        <v>119392.74</v>
      </c>
      <c r="K299" s="353">
        <f t="shared" si="71"/>
        <v>0.28769647132648107</v>
      </c>
      <c r="L299" s="256">
        <f>-SUMIFS(BV_Data_An_Cour!$P:$P,BV_Data_An_Cour!$U:$U,$B299,BV_Data_An_Cour!$V:$V,$C299,BV_Data_An_Cour!$W:$W,$L$2)</f>
        <v>34348.87000000001</v>
      </c>
      <c r="M299" s="292">
        <f t="shared" si="72"/>
        <v>-7.4427973721644849E-2</v>
      </c>
      <c r="N299" s="276">
        <f t="shared" si="73"/>
        <v>-1382.3189739999943</v>
      </c>
      <c r="O299" s="254" cm="1">
        <f t="array" ref="O299">+SUMPRODUCT(('Réel 2024'!$A$8:$A$501=$A299)*('Réel 2024'!$C$3:$AO$3=O$2),'Réel 2024'!$C$8:$AO$501)</f>
        <v>121376.48</v>
      </c>
      <c r="P299" s="353">
        <f t="shared" si="74"/>
        <v>0.29163442538455525</v>
      </c>
      <c r="Q299" s="256" cm="1">
        <f t="array" ref="Q299">+SUMPRODUCT(('Réel 2024'!$A$8:$A$501=$A299)*('Réel 2024'!$C$3:$AO$3=Q$2),'Réel 2024'!$C$8:$AO$501)</f>
        <v>35397.559999999961</v>
      </c>
      <c r="R299" s="292">
        <f t="shared" si="75"/>
        <v>-1.6343693605218992E-2</v>
      </c>
      <c r="S299" s="276">
        <f t="shared" si="76"/>
        <v>-1048.6899999999514</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1096883.8829999999</v>
      </c>
      <c r="E300" s="353">
        <f t="shared" si="70"/>
        <v>0.13500000000000001</v>
      </c>
      <c r="F300" s="276" cm="1">
        <f t="array" ref="F300">+SUMPRODUCT(('Budget original'!$A$8:$A$501=$A300)*('Budget original'!$C$3:$AO$3=F$2),'Budget original'!$C$8:$AO$501)</f>
        <v>148079.32420500001</v>
      </c>
      <c r="G300" s="291"/>
      <c r="H300" s="353"/>
      <c r="I300" s="276"/>
      <c r="J300" s="254">
        <f>-SUMIFS(BV_Data_An_Cour!$P:$P,BV_Data_An_Cour!$X:$X,"Oui",BV_Data_An_Cour!$U:$U,$B300,BV_Data_An_Cour!$V:$V,$C300)</f>
        <v>1348594.22</v>
      </c>
      <c r="K300" s="353">
        <f t="shared" si="71"/>
        <v>0.13523373991622181</v>
      </c>
      <c r="L300" s="256">
        <f>-SUMIFS(BV_Data_An_Cour!$P:$P,BV_Data_An_Cour!$U:$U,$B300,BV_Data_An_Cour!$V:$V,$C300,BV_Data_An_Cour!$W:$W,$L$2)</f>
        <v>182375.44</v>
      </c>
      <c r="M300" s="292">
        <f t="shared" si="72"/>
        <v>0.22947765109973822</v>
      </c>
      <c r="N300" s="276">
        <f t="shared" si="73"/>
        <v>34296.115794999991</v>
      </c>
      <c r="O300" s="254" cm="1">
        <f t="array" ref="O300">+SUMPRODUCT(('Réel 2024'!$A$8:$A$501=$A300)*('Réel 2024'!$C$3:$AO$3=O$2),'Réel 2024'!$C$8:$AO$501)</f>
        <v>1025550.76</v>
      </c>
      <c r="P300" s="353">
        <f t="shared" si="74"/>
        <v>0.14482019398045154</v>
      </c>
      <c r="Q300" s="256" cm="1">
        <f t="array" ref="Q300">+SUMPRODUCT(('Réel 2024'!$A$8:$A$501=$A300)*('Réel 2024'!$C$3:$AO$3=Q$2),'Réel 2024'!$C$8:$AO$501)</f>
        <v>148520.4599999995</v>
      </c>
      <c r="R300" s="292">
        <f t="shared" si="75"/>
        <v>0.31499509590339531</v>
      </c>
      <c r="S300" s="276">
        <f t="shared" si="76"/>
        <v>33854.980000000505</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2024'!$A$8:$A$501=$A301)*('Réel 2024'!$C$3:$AO$3=O$2),'Réel 2024'!$C$8:$AO$501)</f>
        <v>0</v>
      </c>
      <c r="P301" s="353">
        <f t="shared" si="74"/>
        <v>0</v>
      </c>
      <c r="Q301" s="256" cm="1">
        <f t="array" ref="Q301">+SUMPRODUCT(('Réel 2024'!$A$8:$A$501=$A301)*('Réel 2024'!$C$3:$AO$3=Q$2),'Réel 2024'!$C$8:$AO$501)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70108.056893422312</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58484.480000000003</v>
      </c>
      <c r="M302" s="292"/>
      <c r="N302" s="276">
        <f t="shared" si="73"/>
        <v>-11623.576893422309</v>
      </c>
      <c r="O302" s="254" cm="1">
        <f t="array" ref="O302">+SUMPRODUCT(('Réel 2024'!$A$8:$A$501=$A302)*('Réel 2024'!$C$3:$AO$3=O$2),'Réel 2024'!$C$8:$AO$501)</f>
        <v>0</v>
      </c>
      <c r="P302" s="353">
        <f t="shared" si="74"/>
        <v>0</v>
      </c>
      <c r="Q302" s="256" cm="1">
        <f t="array" ref="Q302">+SUMPRODUCT(('Réel 2024'!$A$8:$A$501=$A302)*('Réel 2024'!$C$3:$AO$3=Q$2),'Réel 2024'!$C$8:$AO$501)</f>
        <v>80120.959999999992</v>
      </c>
      <c r="R302" s="292">
        <f t="shared" si="75"/>
        <v>0</v>
      </c>
      <c r="S302" s="276">
        <f t="shared" si="76"/>
        <v>-21636.479999999989</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2024'!$A$8:$A$501=$A303)*('Réel 2024'!$C$3:$AO$3=O$2),'Réel 2024'!$C$8:$AO$501)</f>
        <v>0</v>
      </c>
      <c r="P303" s="353">
        <f t="shared" si="74"/>
        <v>0</v>
      </c>
      <c r="Q303" s="256" cm="1">
        <f t="array" ref="Q303">+SUMPRODUCT(('Réel 2024'!$A$8:$A$501=$A303)*('Réel 2024'!$C$3:$AO$3=Q$2),'Réel 2024'!$C$8:$AO$501)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2734519.4802399995</v>
      </c>
      <c r="E304" s="407">
        <f>IF(D304&lt;=0,0,F304/D304)</f>
        <v>0.25908986153754548</v>
      </c>
      <c r="F304" s="392">
        <f t="shared" ref="F304" si="77">SUM(F295:F303)</f>
        <v>708486.27350710228</v>
      </c>
      <c r="G304" s="390"/>
      <c r="H304" s="407"/>
      <c r="I304" s="392"/>
      <c r="J304" s="390">
        <f t="shared" ref="J304" si="78">SUM(J295:J303)</f>
        <v>3148110.71</v>
      </c>
      <c r="K304" s="407">
        <f t="shared" si="71"/>
        <v>0.23530555251660767</v>
      </c>
      <c r="L304" s="392">
        <f>SUM(L295:L303)</f>
        <v>740767.93</v>
      </c>
      <c r="M304" s="408">
        <f>(+J304-D304)/D304</f>
        <v>0.15124822944164984</v>
      </c>
      <c r="N304" s="392">
        <f t="shared" si="73"/>
        <v>32281.656492897775</v>
      </c>
      <c r="O304" s="390">
        <f>SUM(O295:O303)</f>
        <v>2509205.8600000003</v>
      </c>
      <c r="P304" s="407">
        <f>IF(O304&lt;=0,0,Q304/O304)</f>
        <v>0.27065387134079089</v>
      </c>
      <c r="Q304" s="392">
        <f t="shared" ref="Q304" si="79">SUM(Q295:Q303)</f>
        <v>679126.27999999863</v>
      </c>
      <c r="R304" s="408">
        <f t="shared" si="75"/>
        <v>0.25462432564221715</v>
      </c>
      <c r="S304" s="392">
        <f t="shared" si="76"/>
        <v>61641.65000000142</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4.5564265251180146E-2</v>
      </c>
      <c r="O305" s="253"/>
      <c r="P305" s="41"/>
      <c r="Q305" s="263"/>
      <c r="R305" s="253"/>
      <c r="S305" s="265">
        <f>IF(Q304=0,0,S304/Q304)</f>
        <v>9.0766109065903836E-2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235902.11</v>
      </c>
      <c r="E307" s="353">
        <f t="shared" ref="E307:E308" si="80">IF(D307=0,0,F307/D307)</f>
        <v>0.17100000000000004</v>
      </c>
      <c r="F307" s="317" cm="1">
        <f t="array" ref="F307">+SUMPRODUCT(('Budget original'!$A$8:$A$501=$A307)*('Budget original'!$C$3:$AO$3=F$2),'Budget original'!$C$8:$AO$501)</f>
        <v>40339.260810000007</v>
      </c>
      <c r="G307" s="291"/>
      <c r="H307" s="353"/>
      <c r="I307" s="317"/>
      <c r="J307" s="254">
        <f>-SUMIFS(BV_Data_An_Cour!$P:$P,BV_Data_An_Cour!$X:$X,"Oui",BV_Data_An_Cour!$U:$U,$B307,BV_Data_An_Cour!$V:$V,$C307)</f>
        <v>275780.80000000005</v>
      </c>
      <c r="K307" s="353">
        <f t="shared" ref="K307:K309" si="81">IF(J307&lt;=0,0,L307/J307)</f>
        <v>0.16271176238519877</v>
      </c>
      <c r="L307" s="256">
        <f>-SUMIFS(BV_Data_An_Cour!$P:$P,BV_Data_An_Cour!$U:$U,$B307,BV_Data_An_Cour!$V:$V,$C307,BV_Data_An_Cour!$W:$W,$L$2)</f>
        <v>44872.780000000035</v>
      </c>
      <c r="M307" s="292">
        <f>(+J307-D307)/D307</f>
        <v>0.16904761894668963</v>
      </c>
      <c r="N307" s="276">
        <f>L307-F307</f>
        <v>4533.5191900000282</v>
      </c>
      <c r="O307" s="254" cm="1">
        <f t="array" ref="O307">+SUMPRODUCT(('Réel 2024'!$A$8:$A$501=$A307)*('Réel 2024'!$C$3:$AO$3=O$2),'Réel 2024'!$C$8:$AO$501)</f>
        <v>229091.68</v>
      </c>
      <c r="P307" s="353">
        <f t="shared" ref="P307:P308" si="82">IF(O307=0,0,Q307/O307)</f>
        <v>0.16320623254410618</v>
      </c>
      <c r="Q307" s="256" cm="1">
        <f t="array" ref="Q307">+SUMPRODUCT(('Réel 2024'!$A$8:$A$501=$A307)*('Réel 2024'!$C$3:$AO$3=Q$2),'Réel 2024'!$C$8:$AO$501)</f>
        <v>37389.189999999959</v>
      </c>
      <c r="R307" s="292">
        <f t="shared" ref="R307:R309" si="83">IF(O307=0,0,(J307-O307)/O307)</f>
        <v>0.20380102847907902</v>
      </c>
      <c r="S307" s="276">
        <f t="shared" ref="S307:S309" si="84">L307-Q307</f>
        <v>7483.5900000000765</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166527.51453081844</v>
      </c>
      <c r="E308" s="353">
        <f t="shared" si="80"/>
        <v>0.25599999999999995</v>
      </c>
      <c r="F308" s="296" cm="1">
        <f t="array" ref="F308">+SUMPRODUCT(('Budget original'!$A$8:$A$501=$A308)*('Budget original'!$C$3:$AO$3=F$2),'Budget original'!$C$8:$AO$501)</f>
        <v>42631.043719889516</v>
      </c>
      <c r="G308" s="291"/>
      <c r="H308" s="353"/>
      <c r="I308" s="296"/>
      <c r="J308" s="254">
        <f>-SUMIFS(BV_Data_An_Cour!$P:$P,BV_Data_An_Cour!$X:$X,"Oui",BV_Data_An_Cour!$U:$U,$B308,BV_Data_An_Cour!$V:$V,$C308)</f>
        <v>153680.76</v>
      </c>
      <c r="K308" s="353">
        <f t="shared" si="81"/>
        <v>0.26764039948787349</v>
      </c>
      <c r="L308" s="256">
        <f>-SUMIFS(BV_Data_An_Cour!$P:$P,BV_Data_An_Cour!$U:$U,$B308,BV_Data_An_Cour!$V:$V,$C308,BV_Data_An_Cour!$W:$W,$L$2)</f>
        <v>41131.180000000008</v>
      </c>
      <c r="M308" s="292">
        <f>(+J308-D308)/D308</f>
        <v>-7.714493648099785E-2</v>
      </c>
      <c r="N308" s="276">
        <f>L308-F308</f>
        <v>-1499.8637198895085</v>
      </c>
      <c r="O308" s="254" cm="1">
        <f t="array" ref="O308">+SUMPRODUCT(('Réel 2024'!$A$8:$A$501=$A308)*('Réel 2024'!$C$3:$AO$3=O$2),'Réel 2024'!$C$8:$AO$501)</f>
        <v>149051.56</v>
      </c>
      <c r="P308" s="353">
        <f t="shared" si="82"/>
        <v>0.25228075439129916</v>
      </c>
      <c r="Q308" s="256" cm="1">
        <f t="array" ref="Q308">+SUMPRODUCT(('Réel 2024'!$A$8:$A$501=$A308)*('Réel 2024'!$C$3:$AO$3=Q$2),'Réel 2024'!$C$8:$AO$501)</f>
        <v>37602.839999999989</v>
      </c>
      <c r="R308" s="292">
        <f t="shared" si="83"/>
        <v>3.1057709157824392E-2</v>
      </c>
      <c r="S308" s="276">
        <f t="shared" si="84"/>
        <v>3528.3400000000183</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3136949.1047708178</v>
      </c>
      <c r="E309" s="407">
        <f>IF(D309&lt;=0,0,F309/D309)</f>
        <v>0.2523013767846306</v>
      </c>
      <c r="F309" s="392">
        <f t="shared" ref="F309" si="85">F304+F307+F308</f>
        <v>791456.57803699176</v>
      </c>
      <c r="G309" s="393"/>
      <c r="H309" s="407"/>
      <c r="I309" s="392"/>
      <c r="J309" s="393">
        <f t="shared" ref="J309" si="86">J304+J307+J308</f>
        <v>3577572.2699999996</v>
      </c>
      <c r="K309" s="407">
        <f t="shared" si="81"/>
        <v>0.23109858518665236</v>
      </c>
      <c r="L309" s="392">
        <f>L304+L307+L308</f>
        <v>826771.89000000013</v>
      </c>
      <c r="M309" s="408">
        <f>(+J309-D309)/D309</f>
        <v>0.1404623251805589</v>
      </c>
      <c r="N309" s="392">
        <f>L309-F309</f>
        <v>35315.311963008367</v>
      </c>
      <c r="O309" s="393">
        <f>O304+O307+O308</f>
        <v>2887349.1000000006</v>
      </c>
      <c r="P309" s="407">
        <f>IF(O309&lt;=0,0,Q309/O309)</f>
        <v>0.26118016349321888</v>
      </c>
      <c r="Q309" s="392">
        <f t="shared" ref="Q309" si="87">Q304+Q307+Q308</f>
        <v>754118.30999999854</v>
      </c>
      <c r="R309" s="408">
        <f t="shared" si="83"/>
        <v>0.23905082000648931</v>
      </c>
      <c r="S309" s="392">
        <f t="shared" si="84"/>
        <v>72653.580000001588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4.4620656322800531E-2</v>
      </c>
      <c r="O310" s="253"/>
      <c r="P310" s="41"/>
      <c r="Q310" s="263"/>
      <c r="R310" s="253"/>
      <c r="S310" s="265">
        <f>IF(Q309=0,0,S309/Q309)</f>
        <v>9.6342416085881441E-2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2024'!$A$8:$A$501=$A312)*('Réel 2024'!$C$3:$AO$3=O$2),'Réel 2024'!$C$8:$AO$501)</f>
        <v>0</v>
      </c>
      <c r="P312" s="354">
        <f>IF(O312=0,0,Q312/O312)</f>
        <v>0</v>
      </c>
      <c r="Q312" s="248" cm="1">
        <f t="array" ref="Q312">+SUMPRODUCT(('Réel 2024'!$A$8:$A$501=$A312)*('Réel 2024'!$C$3:$AO$3=Q$2),'Réel 2024'!$C$8:$AO$501)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3136949.1047708178</v>
      </c>
      <c r="E314" s="410">
        <f>IF(D314&lt;=0,0,F314/D314)</f>
        <v>0.2523013767846306</v>
      </c>
      <c r="F314" s="281">
        <f t="shared" ref="F314" si="88">F309+F312</f>
        <v>791456.57803699176</v>
      </c>
      <c r="G314" s="282"/>
      <c r="H314" s="410"/>
      <c r="I314" s="281"/>
      <c r="J314" s="282">
        <f t="shared" ref="J314" si="89">J309+J312</f>
        <v>3577572.2699999996</v>
      </c>
      <c r="K314" s="410">
        <f>IF(J314&lt;=0,0,L314/J314)</f>
        <v>0.23109858518665236</v>
      </c>
      <c r="L314" s="281">
        <f>L309+L312</f>
        <v>826771.89000000013</v>
      </c>
      <c r="M314" s="411">
        <f>(+J314-D314)/D314</f>
        <v>0.1404623251805589</v>
      </c>
      <c r="N314" s="412">
        <f>L314-F314</f>
        <v>35315.311963008367</v>
      </c>
      <c r="O314" s="282">
        <f>O309+O312</f>
        <v>2887349.1000000006</v>
      </c>
      <c r="P314" s="410">
        <f>IF(O314&lt;=0,0,Q314/O314)</f>
        <v>0.26118016349321888</v>
      </c>
      <c r="Q314" s="281">
        <f t="shared" ref="Q314" si="90">Q309+Q312</f>
        <v>754118.30999999854</v>
      </c>
      <c r="R314" s="411">
        <f>IF(O314=0,0,(J314-O314)/O314)</f>
        <v>0.23905082000648931</v>
      </c>
      <c r="S314" s="412">
        <f>L314-Q314</f>
        <v>72653.580000001588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4.4620656322800531E-2</v>
      </c>
      <c r="O315" s="415"/>
      <c r="P315" s="414"/>
      <c r="Q315" s="335"/>
      <c r="R315" s="416"/>
      <c r="S315" s="287">
        <f>IF(Q314=0,0,S314/Q314)</f>
        <v>9.6342416085881441E-2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51063.353846153856</v>
      </c>
      <c r="G318" s="253"/>
      <c r="H318" s="41"/>
      <c r="I318" s="254"/>
      <c r="J318" s="253"/>
      <c r="K318" s="41"/>
      <c r="L318" s="256">
        <f>SUMIFS(BV_Data_An_Cour!$P:$P,BV_Data_An_Cour!$U:$U,$B318,BV_Data_An_Cour!$V:$V,$C318,BV_Data_An_Cour!$W:$W,$L$2)</f>
        <v>64368.52</v>
      </c>
      <c r="M318" s="253"/>
      <c r="N318" s="276">
        <f t="shared" ref="N318:N348" si="91">L318-F318</f>
        <v>13305.166153846141</v>
      </c>
      <c r="O318" s="253"/>
      <c r="P318" s="41"/>
      <c r="Q318" s="256" cm="1">
        <f t="array" ref="Q318">+SUMPRODUCT(('Réel 2024'!$A$8:$A$501=$A318)*('Réel 2024'!$C$3:$AO$3=Q$2),'Réel 2024'!$C$8:$AO$501)</f>
        <v>57403.16</v>
      </c>
      <c r="R318" s="253"/>
      <c r="S318" s="256">
        <f t="shared" ref="S318:S348" si="92">L318-Q318</f>
        <v>6965.3599999999933</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197040.68092307693</v>
      </c>
      <c r="G319" s="298"/>
      <c r="H319" s="41"/>
      <c r="I319" s="248"/>
      <c r="J319" s="253"/>
      <c r="K319" s="41"/>
      <c r="L319" s="256">
        <f>SUMIFS(BV_Data_An_Cour!$P:$P,BV_Data_An_Cour!$U:$U,$B319,BV_Data_An_Cour!$V:$V,$C319,BV_Data_An_Cour!$W:$W,$L$2)</f>
        <v>180336.34</v>
      </c>
      <c r="M319" s="253"/>
      <c r="N319" s="276">
        <f t="shared" si="91"/>
        <v>-16704.340923076932</v>
      </c>
      <c r="O319" s="253"/>
      <c r="P319" s="41"/>
      <c r="Q319" s="256" cm="1">
        <f t="array" ref="Q319">+SUMPRODUCT(('Réel 2024'!$A$8:$A$501=$A319)*('Réel 2024'!$C$3:$AO$3=Q$2),'Réel 2024'!$C$8:$AO$501)</f>
        <v>172219.65</v>
      </c>
      <c r="R319" s="253"/>
      <c r="S319" s="276">
        <f t="shared" si="92"/>
        <v>8116.6900000000023</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1051.846153846154</v>
      </c>
      <c r="G320" s="316"/>
      <c r="H320" s="315"/>
      <c r="I320" s="254"/>
      <c r="J320" s="241"/>
      <c r="K320" s="315"/>
      <c r="L320" s="272">
        <f>SUMIFS(BV_Data_An_Cour!$P:$P,BV_Data_An_Cour!$U:$U,$B320,BV_Data_An_Cour!$V:$V,$C320,BV_Data_An_Cour!$W:$W,$L$2)</f>
        <v>797.44</v>
      </c>
      <c r="M320" s="241"/>
      <c r="N320" s="317">
        <f t="shared" si="91"/>
        <v>-254.40615384615398</v>
      </c>
      <c r="O320" s="241"/>
      <c r="P320" s="315"/>
      <c r="Q320" s="272" cm="1">
        <f t="array" ref="Q320">+SUMPRODUCT(('Réel 2024'!$A$8:$A$501=$A320)*('Réel 2024'!$C$3:$AO$3=Q$2),'Réel 2024'!$C$8:$AO$501)</f>
        <v>8030.7300000000005</v>
      </c>
      <c r="R320" s="241"/>
      <c r="S320" s="317">
        <f t="shared" si="92"/>
        <v>-7233.2900000000009</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2024'!$A$8:$A$501=$A321)*('Réel 2024'!$C$3:$AO$3=Q$2),'Réel 2024'!$C$8:$AO$501)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2024'!$A$8:$A$501=$A322)*('Réel 2024'!$C$3:$AO$3=Q$2),'Réel 2024'!$C$8:$AO$501)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2024'!$A$8:$A$501=$A323)*('Réel 2024'!$C$3:$AO$3=Q$2),'Réel 2024'!$C$8:$AO$501)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2024'!$A$8:$A$501=$A324)*('Réel 2024'!$C$3:$AO$3=Q$2),'Réel 2024'!$C$8:$AO$501)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30721.162446307688</v>
      </c>
      <c r="G325" s="298"/>
      <c r="H325" s="41"/>
      <c r="I325" s="248"/>
      <c r="J325" s="253"/>
      <c r="K325" s="41"/>
      <c r="L325" s="256">
        <f>SUMIFS(BV_Data_An_Cour!$P:$P,BV_Data_An_Cour!$U:$U,$B325,BV_Data_An_Cour!$V:$V,$C325,BV_Data_An_Cour!$W:$W,$L$2)</f>
        <v>28513.91</v>
      </c>
      <c r="M325" s="253"/>
      <c r="N325" s="276">
        <f t="shared" si="91"/>
        <v>-2207.2524463076879</v>
      </c>
      <c r="O325" s="253"/>
      <c r="P325" s="41"/>
      <c r="Q325" s="256" cm="1">
        <f t="array" ref="Q325">+SUMPRODUCT(('Réel 2024'!$A$8:$A$501=$A325)*('Réel 2024'!$C$3:$AO$3=Q$2),'Réel 2024'!$C$8:$AO$501)</f>
        <v>27363.309999999998</v>
      </c>
      <c r="R325" s="253"/>
      <c r="S325" s="276">
        <f t="shared" si="92"/>
        <v>1150.6000000000022</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37352.60279815385</v>
      </c>
      <c r="G326" s="316"/>
      <c r="H326" s="315"/>
      <c r="I326" s="254"/>
      <c r="J326" s="241"/>
      <c r="K326" s="315"/>
      <c r="L326" s="272">
        <f>SUMIFS(BV_Data_An_Cour!$P:$P,BV_Data_An_Cour!$U:$U,$B326,BV_Data_An_Cour!$V:$V,$C326,BV_Data_An_Cour!$W:$W,$L$2)</f>
        <v>48286.14</v>
      </c>
      <c r="M326" s="241"/>
      <c r="N326" s="317">
        <f t="shared" si="91"/>
        <v>10933.537201846149</v>
      </c>
      <c r="O326" s="241"/>
      <c r="P326" s="315"/>
      <c r="Q326" s="272" cm="1">
        <f t="array" ref="Q326">+SUMPRODUCT(('Réel 2024'!$A$8:$A$501=$A326)*('Réel 2024'!$C$3:$AO$3=Q$2),'Réel 2024'!$C$8:$AO$501)</f>
        <v>54202.149999999994</v>
      </c>
      <c r="R326" s="241"/>
      <c r="S326" s="317">
        <f t="shared" si="92"/>
        <v>-5916.0099999999948</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19244.710572092306</v>
      </c>
      <c r="G327" s="298"/>
      <c r="H327" s="41"/>
      <c r="I327" s="254"/>
      <c r="J327" s="253"/>
      <c r="K327" s="41"/>
      <c r="L327" s="256">
        <f>SUMIFS(BV_Data_An_Cour!$P:$P,BV_Data_An_Cour!$U:$U,$B327,BV_Data_An_Cour!$V:$V,$C327,BV_Data_An_Cour!$W:$W,$L$2)</f>
        <v>8100.68</v>
      </c>
      <c r="M327" s="253"/>
      <c r="N327" s="276">
        <f t="shared" si="91"/>
        <v>-11144.030572092306</v>
      </c>
      <c r="O327" s="253"/>
      <c r="P327" s="41"/>
      <c r="Q327" s="256" cm="1">
        <f t="array" ref="Q327">+SUMPRODUCT(('Réel 2024'!$A$8:$A$501=$A327)*('Réel 2024'!$C$3:$AO$3=Q$2),'Réel 2024'!$C$8:$AO$501)</f>
        <v>9029.74</v>
      </c>
      <c r="R327" s="253"/>
      <c r="S327" s="276">
        <f t="shared" si="92"/>
        <v>-929.05999999999949</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8390.8020778461523</v>
      </c>
      <c r="G328" s="298"/>
      <c r="H328" s="41"/>
      <c r="I328" s="254"/>
      <c r="J328" s="253"/>
      <c r="K328" s="41"/>
      <c r="L328" s="256">
        <f>SUMIFS(BV_Data_An_Cour!$P:$P,BV_Data_An_Cour!$U:$U,$B328,BV_Data_An_Cour!$V:$V,$C328,BV_Data_An_Cour!$W:$W,$L$2)</f>
        <v>8940.93</v>
      </c>
      <c r="M328" s="253"/>
      <c r="N328" s="276">
        <f t="shared" si="91"/>
        <v>550.12792215384798</v>
      </c>
      <c r="O328" s="253"/>
      <c r="P328" s="41"/>
      <c r="Q328" s="256" cm="1">
        <f t="array" ref="Q328">+SUMPRODUCT(('Réel 2024'!$A$8:$A$501=$A328)*('Réel 2024'!$C$3:$AO$3=Q$2),'Réel 2024'!$C$8:$AO$501)</f>
        <v>6969.1900000000005</v>
      </c>
      <c r="R328" s="253"/>
      <c r="S328" s="276">
        <f t="shared" si="92"/>
        <v>1971.7399999999998</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2024'!$A$8:$A$501=$A329)*('Réel 2024'!$C$3:$AO$3=Q$2),'Réel 2024'!$C$8:$AO$501)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0.43573478114595737</v>
      </c>
      <c r="F330" s="307">
        <f>+SUM(F318:F329)</f>
        <v>344865.15881747694</v>
      </c>
      <c r="G330" s="308"/>
      <c r="H330" s="306"/>
      <c r="I330" s="307"/>
      <c r="J330" s="308" t="s">
        <v>119</v>
      </c>
      <c r="K330" s="306">
        <f>L330/L$314</f>
        <v>0.41044448185097332</v>
      </c>
      <c r="L330" s="307">
        <f>+SUM(L318:L329)</f>
        <v>339343.95999999996</v>
      </c>
      <c r="M330" s="355"/>
      <c r="N330" s="320">
        <f t="shared" si="91"/>
        <v>-5521.1988174769795</v>
      </c>
      <c r="O330" s="308" t="s">
        <v>119</v>
      </c>
      <c r="P330" s="306">
        <f>Q330/Q$314</f>
        <v>0.44451636507804809</v>
      </c>
      <c r="Q330" s="307">
        <f>+SUM(Q318:Q329)</f>
        <v>335217.93</v>
      </c>
      <c r="R330" s="355"/>
      <c r="S330" s="320">
        <f t="shared" si="92"/>
        <v>4126.0299999999697</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29511.735193971555</v>
      </c>
      <c r="G331" s="298"/>
      <c r="H331" s="41"/>
      <c r="I331" s="254"/>
      <c r="J331" s="253"/>
      <c r="K331" s="41"/>
      <c r="L331" s="256">
        <f>SUMIFS(BV_Data_An_Cour!$P:$P,BV_Data_An_Cour!$U:$U,$B331,BV_Data_An_Cour!$V:$V,$C331,BV_Data_An_Cour!$W:$W,$L$2)</f>
        <v>39949.94</v>
      </c>
      <c r="M331" s="253"/>
      <c r="N331" s="276">
        <f t="shared" si="91"/>
        <v>10438.204806028447</v>
      </c>
      <c r="O331" s="253"/>
      <c r="P331" s="41"/>
      <c r="Q331" s="256" cm="1">
        <f t="array" ref="Q331">+SUMPRODUCT(('Réel 2024'!$A$8:$A$501=$A331)*('Réel 2024'!$C$3:$AO$3=Q$2),'Réel 2024'!$C$8:$AO$501)</f>
        <v>30989.129999999994</v>
      </c>
      <c r="R331" s="253"/>
      <c r="S331" s="276">
        <f t="shared" si="92"/>
        <v>8960.8100000000086</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3930.6804474099913</v>
      </c>
      <c r="G332" s="298"/>
      <c r="H332" s="41"/>
      <c r="I332" s="254"/>
      <c r="J332" s="253"/>
      <c r="K332" s="41"/>
      <c r="L332" s="256">
        <f>SUMIFS(BV_Data_An_Cour!$P:$P,BV_Data_An_Cour!$U:$U,$B332,BV_Data_An_Cour!$V:$V,$C332,BV_Data_An_Cour!$W:$W,$L$2)</f>
        <v>12482.3</v>
      </c>
      <c r="M332" s="253"/>
      <c r="N332" s="276">
        <f t="shared" si="91"/>
        <v>8551.6195525900075</v>
      </c>
      <c r="O332" s="253"/>
      <c r="P332" s="41"/>
      <c r="Q332" s="256" cm="1">
        <f t="array" ref="Q332">+SUMPRODUCT(('Réel 2024'!$A$8:$A$501=$A332)*('Réel 2024'!$C$3:$AO$3=Q$2),'Réel 2024'!$C$8:$AO$501)</f>
        <v>-45.639999999999958</v>
      </c>
      <c r="R332" s="253"/>
      <c r="S332" s="276">
        <f t="shared" si="92"/>
        <v>12527.939999999999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8850.2434222222255</v>
      </c>
      <c r="G333" s="300"/>
      <c r="H333" s="318"/>
      <c r="I333" s="248"/>
      <c r="J333" s="246"/>
      <c r="K333" s="318"/>
      <c r="L333" s="256">
        <f>SUMIFS(BV_Data_An_Cour!$P:$P,BV_Data_An_Cour!$U:$U,$B333,BV_Data_An_Cour!$V:$V,$C333,BV_Data_An_Cour!$W:$W,$L$2)</f>
        <v>8451</v>
      </c>
      <c r="M333" s="246"/>
      <c r="N333" s="296">
        <f t="shared" si="91"/>
        <v>-399.24342222222549</v>
      </c>
      <c r="O333" s="246"/>
      <c r="P333" s="318"/>
      <c r="Q333" s="256" cm="1">
        <f t="array" ref="Q333">+SUMPRODUCT(('Réel 2024'!$A$8:$A$501=$A333)*('Réel 2024'!$C$3:$AO$3=Q$2),'Réel 2024'!$C$8:$AO$501)</f>
        <v>8903.7000000000007</v>
      </c>
      <c r="R333" s="246"/>
      <c r="S333" s="296">
        <f t="shared" si="92"/>
        <v>-452.70000000000073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31147.59717261112</v>
      </c>
      <c r="G334" s="298"/>
      <c r="H334" s="41"/>
      <c r="I334" s="254"/>
      <c r="J334" s="253"/>
      <c r="K334" s="41"/>
      <c r="L334" s="272">
        <f>SUMIFS(BV_Data_An_Cour!$P:$P,BV_Data_An_Cour!$U:$U,$B334,BV_Data_An_Cour!$V:$V,$C334,BV_Data_An_Cour!$W:$W,$L$2)</f>
        <v>45216.62</v>
      </c>
      <c r="M334" s="253"/>
      <c r="N334" s="276">
        <f t="shared" si="91"/>
        <v>14069.022827388882</v>
      </c>
      <c r="O334" s="253"/>
      <c r="P334" s="41"/>
      <c r="Q334" s="272" cm="1">
        <f t="array" ref="Q334">+SUMPRODUCT(('Réel 2024'!$A$8:$A$501=$A334)*('Réel 2024'!$C$3:$AO$3=Q$2),'Réel 2024'!$C$8:$AO$501)</f>
        <v>31547.519999999997</v>
      </c>
      <c r="R334" s="253"/>
      <c r="S334" s="276">
        <f t="shared" si="92"/>
        <v>13669.100000000006</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5727.9352821376633</v>
      </c>
      <c r="G335" s="298"/>
      <c r="H335" s="41"/>
      <c r="I335" s="254"/>
      <c r="J335" s="253"/>
      <c r="K335" s="41"/>
      <c r="L335" s="256">
        <f>SUMIFS(BV_Data_An_Cour!$P:$P,BV_Data_An_Cour!$U:$U,$B335,BV_Data_An_Cour!$V:$V,$C335,BV_Data_An_Cour!$W:$W,$L$2)</f>
        <v>6621.8</v>
      </c>
      <c r="M335" s="253"/>
      <c r="N335" s="276">
        <f t="shared" si="91"/>
        <v>893.86471786233687</v>
      </c>
      <c r="O335" s="253"/>
      <c r="P335" s="41"/>
      <c r="Q335" s="256" cm="1">
        <f t="array" ref="Q335">+SUMPRODUCT(('Réel 2024'!$A$8:$A$501=$A335)*('Réel 2024'!$C$3:$AO$3=Q$2),'Réel 2024'!$C$8:$AO$501)</f>
        <v>5978.8600000000006</v>
      </c>
      <c r="R335" s="253"/>
      <c r="S335" s="276">
        <f t="shared" si="92"/>
        <v>642.9399999999996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87416.601140856699</v>
      </c>
      <c r="G336" s="300"/>
      <c r="H336" s="318"/>
      <c r="I336" s="248"/>
      <c r="J336" s="246"/>
      <c r="K336" s="318"/>
      <c r="L336" s="248">
        <f>SUMIFS(BV_Data_An_Cour!$P:$P,BV_Data_An_Cour!$U:$U,$B336,BV_Data_An_Cour!$V:$V,$C336,BV_Data_An_Cour!$W:$W,$L$2)</f>
        <v>98933.2</v>
      </c>
      <c r="M336" s="246"/>
      <c r="N336" s="296">
        <f t="shared" si="91"/>
        <v>11516.598859143298</v>
      </c>
      <c r="O336" s="246"/>
      <c r="P336" s="318"/>
      <c r="Q336" s="248" cm="1">
        <f t="array" ref="Q336">+SUMPRODUCT(('Réel 2024'!$A$8:$A$501=$A336)*('Réel 2024'!$C$3:$AO$3=Q$2),'Réel 2024'!$C$8:$AO$501)</f>
        <v>85283.13</v>
      </c>
      <c r="R336" s="246"/>
      <c r="S336" s="296">
        <f t="shared" si="92"/>
        <v>13650.069999999992</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1789.7273333333333</v>
      </c>
      <c r="G338" s="298"/>
      <c r="H338" s="41"/>
      <c r="I338" s="254"/>
      <c r="J338" s="253"/>
      <c r="K338" s="41"/>
      <c r="L338" s="256">
        <f>SUMIFS(BV_Data_An_Cour!$P:$P,BV_Data_An_Cour!$U:$U,$B338,BV_Data_An_Cour!$V:$V,$C338,BV_Data_An_Cour!$W:$W,$L$2)</f>
        <v>114.94</v>
      </c>
      <c r="M338" s="253"/>
      <c r="N338" s="276">
        <f t="shared" si="91"/>
        <v>-1674.7873333333332</v>
      </c>
      <c r="O338" s="253"/>
      <c r="P338" s="41"/>
      <c r="Q338" s="256" cm="1">
        <f t="array" ref="Q338">+SUMPRODUCT(('Réel 2024'!$A$8:$A$501=$A338)*('Réel 2024'!$C$3:$AO$3=Q$2),'Réel 2024'!$C$8:$AO$501)</f>
        <v>1690.52</v>
      </c>
      <c r="R338" s="253"/>
      <c r="S338" s="276">
        <f t="shared" si="92"/>
        <v>-1575.58</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198.33333333333334</v>
      </c>
      <c r="G339" s="298"/>
      <c r="H339" s="41"/>
      <c r="I339" s="254"/>
      <c r="J339" s="253"/>
      <c r="K339" s="41"/>
      <c r="L339" s="256">
        <f>SUMIFS(BV_Data_An_Cour!$P:$P,BV_Data_An_Cour!$U:$U,$B339,BV_Data_An_Cour!$V:$V,$C339,BV_Data_An_Cour!$W:$W,$L$2)</f>
        <v>361.45</v>
      </c>
      <c r="M339" s="253"/>
      <c r="N339" s="276">
        <f t="shared" si="91"/>
        <v>163.11666666666665</v>
      </c>
      <c r="O339" s="253"/>
      <c r="P339" s="41"/>
      <c r="Q339" s="256" cm="1">
        <f t="array" ref="Q339">+SUMPRODUCT(('Réel 2024'!$A$8:$A$501=$A339)*('Réel 2024'!$C$3:$AO$3=Q$2),'Réel 2024'!$C$8:$AO$501)</f>
        <v>0</v>
      </c>
      <c r="R339" s="253"/>
      <c r="S339" s="276">
        <f t="shared" si="92"/>
        <v>361.45</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5014.8633263154998</v>
      </c>
      <c r="G340" s="298"/>
      <c r="H340" s="41"/>
      <c r="I340" s="254"/>
      <c r="J340" s="253"/>
      <c r="K340" s="41"/>
      <c r="L340" s="256">
        <f>SUMIFS(BV_Data_An_Cour!$P:$P,BV_Data_An_Cour!$U:$U,$B340,BV_Data_An_Cour!$V:$V,$C340,BV_Data_An_Cour!$W:$W,$L$2)</f>
        <v>3347</v>
      </c>
      <c r="M340" s="253"/>
      <c r="N340" s="276">
        <f t="shared" si="91"/>
        <v>-1667.8633263154998</v>
      </c>
      <c r="O340" s="253"/>
      <c r="P340" s="41"/>
      <c r="Q340" s="256" cm="1">
        <f t="array" ref="Q340">+SUMPRODUCT(('Réel 2024'!$A$8:$A$501=$A340)*('Réel 2024'!$C$3:$AO$3=Q$2),'Réel 2024'!$C$8:$AO$501)</f>
        <v>3089.02</v>
      </c>
      <c r="R340" s="253"/>
      <c r="S340" s="276">
        <f t="shared" si="92"/>
        <v>257.98</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808.7852051452154</v>
      </c>
      <c r="G341" s="298"/>
      <c r="H341" s="41"/>
      <c r="I341" s="254"/>
      <c r="J341" s="253"/>
      <c r="K341" s="41"/>
      <c r="L341" s="256">
        <f>SUMIFS(BV_Data_An_Cour!$P:$P,BV_Data_An_Cour!$U:$U,$B341,BV_Data_An_Cour!$V:$V,$C341,BV_Data_An_Cour!$W:$W,$L$2)</f>
        <v>666</v>
      </c>
      <c r="M341" s="253"/>
      <c r="N341" s="276">
        <f t="shared" si="91"/>
        <v>-142.7852051452154</v>
      </c>
      <c r="O341" s="253"/>
      <c r="P341" s="41"/>
      <c r="Q341" s="256" cm="1">
        <f t="array" ref="Q341">+SUMPRODUCT(('Réel 2024'!$A$8:$A$501=$A341)*('Réel 2024'!$C$3:$AO$3=Q$2),'Réel 2024'!$C$8:$AO$501)</f>
        <v>675.80000000000007</v>
      </c>
      <c r="R341" s="253"/>
      <c r="S341" s="276">
        <f t="shared" si="92"/>
        <v>-9.8000000000000682</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-217.77243223521535</v>
      </c>
      <c r="G342" s="298"/>
      <c r="H342" s="41"/>
      <c r="I342" s="254"/>
      <c r="J342" s="253"/>
      <c r="K342" s="41"/>
      <c r="L342" s="256">
        <f>SUMIFS(BV_Data_An_Cour!$P:$P,BV_Data_An_Cour!$U:$U,$B342,BV_Data_An_Cour!$V:$V,$C342,BV_Data_An_Cour!$W:$W,$L$2)</f>
        <v>-2448.89</v>
      </c>
      <c r="M342" s="253"/>
      <c r="N342" s="276">
        <f t="shared" si="91"/>
        <v>-2231.1175677647843</v>
      </c>
      <c r="O342" s="253"/>
      <c r="P342" s="41"/>
      <c r="Q342" s="256" cm="1">
        <f t="array" ref="Q342">+SUMPRODUCT(('Réel 2024'!$A$8:$A$501=$A342)*('Réel 2024'!$C$3:$AO$3=Q$2),'Réel 2024'!$C$8:$AO$501)</f>
        <v>-608.28</v>
      </c>
      <c r="R342" s="253"/>
      <c r="S342" s="276">
        <f t="shared" si="92"/>
        <v>-1840.61</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1095.5782366371602</v>
      </c>
      <c r="G343" s="298"/>
      <c r="H343" s="41"/>
      <c r="I343" s="254"/>
      <c r="J343" s="253"/>
      <c r="K343" s="41"/>
      <c r="L343" s="256">
        <f>SUMIFS(BV_Data_An_Cour!$P:$P,BV_Data_An_Cour!$U:$U,$B343,BV_Data_An_Cour!$V:$V,$C343,BV_Data_An_Cour!$W:$W,$L$2)</f>
        <v>460.96</v>
      </c>
      <c r="M343" s="253"/>
      <c r="N343" s="276">
        <f t="shared" si="91"/>
        <v>-634.61823663716018</v>
      </c>
      <c r="O343" s="253"/>
      <c r="P343" s="41"/>
      <c r="Q343" s="256" cm="1">
        <f t="array" ref="Q343">+SUMPRODUCT(('Réel 2024'!$A$8:$A$501=$A343)*('Réel 2024'!$C$3:$AO$3=Q$2),'Réel 2024'!$C$8:$AO$501)</f>
        <v>925.26</v>
      </c>
      <c r="R343" s="253"/>
      <c r="S343" s="276">
        <f t="shared" si="92"/>
        <v>-464.3</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2652.6802485001926</v>
      </c>
      <c r="G344" s="298"/>
      <c r="H344" s="41"/>
      <c r="I344" s="254"/>
      <c r="J344" s="253"/>
      <c r="K344" s="41"/>
      <c r="L344" s="256">
        <f>SUMIFS(BV_Data_An_Cour!$P:$P,BV_Data_An_Cour!$U:$U,$B344,BV_Data_An_Cour!$V:$V,$C344,BV_Data_An_Cour!$W:$W,$L$2)</f>
        <v>1445.45</v>
      </c>
      <c r="M344" s="253"/>
      <c r="N344" s="276">
        <f t="shared" si="91"/>
        <v>-1207.2302485001926</v>
      </c>
      <c r="O344" s="253"/>
      <c r="P344" s="41"/>
      <c r="Q344" s="256" cm="1">
        <f t="array" ref="Q344">+SUMPRODUCT(('Réel 2024'!$A$8:$A$501=$A344)*('Réel 2024'!$C$3:$AO$3=Q$2),'Réel 2024'!$C$8:$AO$501)</f>
        <v>1089.5</v>
      </c>
      <c r="R344" s="253"/>
      <c r="S344" s="276">
        <f t="shared" si="92"/>
        <v>355.95000000000005</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10320.28149783588</v>
      </c>
      <c r="G345" s="298"/>
      <c r="H345" s="41"/>
      <c r="I345" s="254"/>
      <c r="J345" s="253"/>
      <c r="K345" s="41"/>
      <c r="L345" s="256">
        <f>SUMIFS(BV_Data_An_Cour!$P:$P,BV_Data_An_Cour!$U:$U,$B345,BV_Data_An_Cour!$V:$V,$C345,BV_Data_An_Cour!$W:$W,L$2)</f>
        <v>11249.11</v>
      </c>
      <c r="M345" s="253"/>
      <c r="N345" s="276">
        <f t="shared" si="91"/>
        <v>928.82850216412044</v>
      </c>
      <c r="O345" s="253"/>
      <c r="P345" s="41"/>
      <c r="Q345" s="256" cm="1">
        <f t="array" ref="Q345">+SUMPRODUCT(('Réel 2024'!$A$8:$A$501=$A345)*('Réel 2024'!$C$3:$AO$3=Q$2),'Réel 2024'!$C$8:$AO$501)</f>
        <v>11041.85</v>
      </c>
      <c r="R345" s="253"/>
      <c r="S345" s="276">
        <f t="shared" si="92"/>
        <v>207.26000000000022</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2024'!$A$8:$A$501=$A346)*('Réel 2024'!$C$3:$AO$3=Q$2),'Réel 2024'!$C$8:$AO$501)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2024'!$A$8:$A$501=$A347)*('Réel 2024'!$C$3:$AO$3=Q$2),'Réel 2024'!$C$8:$AO$501)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2024'!$A$8:$A$501=$A348)*('Réel 2024'!$C$3:$AO$3=Q$2),'Réel 2024'!$C$8:$AO$501)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0.23784914375842897</v>
      </c>
      <c r="F349" s="307">
        <f>+SUM(F331:F348)</f>
        <v>188247.2694080747</v>
      </c>
      <c r="G349" s="308"/>
      <c r="H349" s="306"/>
      <c r="I349" s="307"/>
      <c r="J349" s="308" t="s">
        <v>119</v>
      </c>
      <c r="K349" s="306">
        <f>L349/L$314</f>
        <v>0.27438146209833036</v>
      </c>
      <c r="L349" s="307">
        <f>+SUM(L331:L348)</f>
        <v>226850.88</v>
      </c>
      <c r="M349" s="311"/>
      <c r="N349" s="307">
        <f>+SUM(N331:N348)</f>
        <v>38603.610591925353</v>
      </c>
      <c r="O349" s="308" t="s">
        <v>119</v>
      </c>
      <c r="P349" s="306">
        <f>Q349/Q$314</f>
        <v>0.23943241744123722</v>
      </c>
      <c r="Q349" s="307">
        <f>+SUM(Q331:Q348)</f>
        <v>180560.37</v>
      </c>
      <c r="R349" s="311"/>
      <c r="S349" s="307">
        <f>+SUM(S331:S348)</f>
        <v>46290.509999999995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0.67358392490438634</v>
      </c>
      <c r="F351" s="307">
        <f>F330+F349</f>
        <v>533112.42822555162</v>
      </c>
      <c r="G351" s="308"/>
      <c r="H351" s="306"/>
      <c r="I351" s="307"/>
      <c r="J351" s="308" t="s">
        <v>119</v>
      </c>
      <c r="K351" s="306">
        <f>L351/L$314</f>
        <v>0.68482594394930374</v>
      </c>
      <c r="L351" s="307">
        <f>L330+L349</f>
        <v>566194.84</v>
      </c>
      <c r="M351" s="311"/>
      <c r="N351" s="320">
        <f>L351-F351</f>
        <v>33082.411774448352</v>
      </c>
      <c r="O351" s="308" t="s">
        <v>119</v>
      </c>
      <c r="P351" s="306">
        <f>Q351/Q$314</f>
        <v>0.68394878251928537</v>
      </c>
      <c r="Q351" s="307">
        <f>Q330+Q349</f>
        <v>515778.3</v>
      </c>
      <c r="R351" s="311"/>
      <c r="S351" s="320">
        <f>L351-Q351</f>
        <v>50416.539999999979</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258344.14981144015</v>
      </c>
      <c r="G353" s="361"/>
      <c r="H353" s="333"/>
      <c r="I353" s="335"/>
      <c r="J353" s="332"/>
      <c r="K353" s="334"/>
      <c r="L353" s="335">
        <f>L314-L351</f>
        <v>260577.05000000016</v>
      </c>
      <c r="M353" s="332"/>
      <c r="N353" s="335">
        <f>L353-F353</f>
        <v>2232.9001885600155</v>
      </c>
      <c r="O353" s="332"/>
      <c r="P353" s="334"/>
      <c r="Q353" s="335">
        <f>Q314-Q351</f>
        <v>238340.00999999855</v>
      </c>
      <c r="R353" s="332"/>
      <c r="S353" s="335">
        <f>L353-Q353</f>
        <v>22237.040000001609</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Juillet 2025</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thickBo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thickTop="1">
      <c r="B358" s="3"/>
      <c r="C358" s="238"/>
      <c r="D358" s="1225" t="s">
        <v>343</v>
      </c>
      <c r="E358" s="1226"/>
      <c r="F358" s="1227"/>
      <c r="G358" s="1230"/>
      <c r="H358" s="1226"/>
      <c r="I358" s="1227"/>
      <c r="J358" s="1230" t="s">
        <v>344</v>
      </c>
      <c r="K358" s="1226"/>
      <c r="L358" s="1227"/>
      <c r="M358" s="1230"/>
      <c r="N358" s="1227"/>
      <c r="O358" s="1230" t="s">
        <v>345</v>
      </c>
      <c r="P358" s="1226"/>
      <c r="Q358" s="1227"/>
      <c r="R358" s="1230" t="s">
        <v>346</v>
      </c>
      <c r="S358" s="1227"/>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thickBo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thickTop="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2024'!$A$8:$A$501=$A360)*('Réel 2024'!$C$3:$AO$3=O$2),'Réel 2024'!$C$8:$AO$501)</f>
        <v>0</v>
      </c>
      <c r="P360" s="410">
        <f>IFERROR(Q360/O360,0)</f>
        <v>0</v>
      </c>
      <c r="Q360" s="425" cm="1">
        <f t="array" ref="Q360">+SUMPRODUCT(('Réel 2024'!$A$8:$A$501=$A360)*('Réel 2024'!$C$3:$AO$3=Q$2),'Réel 2024'!$C$8:$AO$501)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thickBo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thickTop="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2024'!$A$8:$A$501=$A365)*('Réel 2024'!$C$3:$AO$3=Q$2),'Réel 2024'!$C$8:$AO$501)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2024'!$A$8:$A$501=$A366)*('Réel 2024'!$C$3:$AO$3=Q$2),'Réel 2024'!$C$8:$AO$501)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2024'!$A$8:$A$501=$A367)*('Réel 2024'!$C$3:$AO$3=Q$2),'Réel 2024'!$C$8:$AO$501)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2024'!$A$8:$A$501=$A368)*('Réel 2024'!$C$3:$AO$3=Q$2),'Réel 2024'!$C$8:$AO$501)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2024'!$A$8:$A$501=$A369)*('Réel 2024'!$C$3:$AO$3=Q$2),'Réel 2024'!$C$8:$AO$501)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2024'!$A$8:$A$501=$A370)*('Réel 2024'!$C$3:$AO$3=Q$2),'Réel 2024'!$C$8:$AO$501)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2024'!$A$8:$A$501=$A371)*('Réel 2024'!$C$3:$AO$3=Q$2),'Réel 2024'!$C$8:$AO$501)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2024'!$A$8:$A$501=$A372)*('Réel 2024'!$C$3:$AO$3=Q$2),'Réel 2024'!$C$8:$AO$501)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2024'!$A$8:$A$501=$A373)*('Réel 2024'!$C$3:$AO$3=Q$2),'Réel 2024'!$C$8:$AO$501)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2024'!$A$8:$A$501=$A374)*('Réel 2024'!$C$3:$AO$3=Q$2),'Réel 2024'!$C$8:$AO$501)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2024'!$A$8:$A$501=$A375)*('Réel 2024'!$C$3:$AO$3=Q$2),'Réel 2024'!$C$8:$AO$501)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2024'!$A$8:$A$501=$A376)*('Réel 2024'!$C$3:$AO$3=Q$2),'Réel 2024'!$C$8:$AO$501)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2024'!$A$8:$A$501=$A378)*('Réel 2024'!$C$3:$AO$3=Q$2),'Réel 2024'!$C$8:$AO$501)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2024'!$A$8:$A$501=$A379)*('Réel 2024'!$C$3:$AO$3=Q$2),'Réel 2024'!$C$8:$AO$501)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2024'!$A$8:$A$501=$A380)*('Réel 2024'!$C$3:$AO$3=Q$2),'Réel 2024'!$C$8:$AO$501)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2024'!$A$8:$A$501=$A381)*('Réel 2024'!$C$3:$AO$3=Q$2),'Réel 2024'!$C$8:$AO$501)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2024'!$A$8:$A$501=$A382)*('Réel 2024'!$C$3:$AO$3=Q$2),'Réel 2024'!$C$8:$AO$501)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2024'!$A$8:$A$501=$A383)*('Réel 2024'!$C$3:$AO$3=Q$2),'Réel 2024'!$C$8:$AO$501)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2024'!$A$8:$A$501=$A384)*('Réel 2024'!$C$3:$AO$3=Q$2),'Réel 2024'!$C$8:$AO$501)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2024'!$A$8:$A$501=$A385)*('Réel 2024'!$C$3:$AO$3=Q$2),'Réel 2024'!$C$8:$AO$501)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2024'!$A$8:$A$501=$A386)*('Réel 2024'!$C$3:$AO$3=Q$2),'Réel 2024'!$C$8:$AO$501)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2024'!$A$8:$A$501=$A387)*('Réel 2024'!$C$3:$AO$3=Q$2),'Réel 2024'!$C$8:$AO$501)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2024'!$A$8:$A$501=$A388)*('Réel 2024'!$C$3:$AO$3=Q$2),'Réel 2024'!$C$8:$AO$501)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2024'!$A$8:$A$501=$A389)*('Réel 2024'!$C$3:$AO$3=Q$2),'Réel 2024'!$C$8:$AO$501)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2024'!$A$8:$A$501=$A390)*('Réel 2024'!$C$3:$AO$3=Q$2),'Réel 2024'!$C$8:$AO$501)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2024'!$A$8:$A$501=$A391)*('Réel 2024'!$C$3:$AO$3=Q$2),'Réel 2024'!$C$8:$AO$501)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2024'!$A$8:$A$501=$A392)*('Réel 2024'!$C$3:$AO$3=Q$2),'Réel 2024'!$C$8:$AO$501)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2024'!$A$8:$A$501=$A393)*('Réel 2024'!$C$3:$AO$3=Q$2),'Réel 2024'!$C$8:$AO$501)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2024'!$A$8:$A$501=$A394)*('Réel 2024'!$C$3:$AO$3=Q$2),'Réel 2024'!$C$8:$AO$501)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thickBo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thickTop="1" thickBo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Juillet 2025</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4" t="s">
        <v>600</v>
      </c>
      <c r="Y404" s="1232"/>
      <c r="Z404" s="1235"/>
      <c r="AA404" s="1231"/>
      <c r="AB404" s="1232"/>
      <c r="AC404" s="1235"/>
      <c r="AD404" s="1231" t="s">
        <v>344</v>
      </c>
      <c r="AE404" s="1232"/>
      <c r="AF404" s="1235"/>
      <c r="AG404" s="1231" t="s">
        <v>3310</v>
      </c>
      <c r="AH404" s="1232"/>
      <c r="AI404" s="1235"/>
      <c r="AJ404" s="1231" t="s">
        <v>601</v>
      </c>
      <c r="AK404" s="1232"/>
      <c r="AL404" s="1232"/>
      <c r="AM404" s="1231" t="s">
        <v>602</v>
      </c>
      <c r="AN404" s="1232"/>
      <c r="AO404" s="1233"/>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38833935.727457523</v>
      </c>
      <c r="AA406" s="440"/>
      <c r="AB406" s="440"/>
      <c r="AC406" s="441"/>
      <c r="AD406" s="442"/>
      <c r="AE406" s="443"/>
      <c r="AF406" s="443">
        <f>L5+L93+K194+K250+J314+J362</f>
        <v>34188617.439999998</v>
      </c>
      <c r="AG406" s="442"/>
      <c r="AH406" s="443"/>
      <c r="AI406" s="444"/>
      <c r="AJ406" s="442"/>
      <c r="AK406" s="443"/>
      <c r="AL406" s="443">
        <f>Q5+Q93+P194+P250+O314+O362</f>
        <v>39301078.10999997</v>
      </c>
      <c r="AM406" s="445"/>
      <c r="AN406" s="443"/>
      <c r="AO406" s="446"/>
      <c r="AP406" s="38"/>
      <c r="AQ406" s="445">
        <v>54204064.640000001</v>
      </c>
      <c r="AR406" s="620">
        <f t="shared" ref="AR406:AR407" si="99">AF406-AQ406</f>
        <v>-20015447.200000003</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4634997.3638414461</v>
      </c>
      <c r="AA407" s="448"/>
      <c r="AB407" s="448"/>
      <c r="AC407" s="449"/>
      <c r="AD407" s="1261">
        <f>AF407/AF$406</f>
        <v>0.13277400813198839</v>
      </c>
      <c r="AE407" s="451"/>
      <c r="AF407" s="451">
        <f>L27+L108+L194+L250+L314+L362</f>
        <v>4539359.7699999996</v>
      </c>
      <c r="AG407" s="450"/>
      <c r="AH407" s="451">
        <f>AF407-Z407</f>
        <v>-95637.593841446564</v>
      </c>
      <c r="AI407" s="452">
        <f>AH407/Z407</f>
        <v>-2.0633796814542943E-2</v>
      </c>
      <c r="AJ407" s="1261">
        <f>+AL407/AL406</f>
        <v>0.10561677947821563</v>
      </c>
      <c r="AK407" s="451"/>
      <c r="AL407" s="451">
        <f>Q27+Q108+Q194+Q250+Q314+Q362</f>
        <v>4150853.2999999942</v>
      </c>
      <c r="AM407" s="453"/>
      <c r="AN407" s="451">
        <f>AF407-AL407</f>
        <v>388506.47000000533</v>
      </c>
      <c r="AO407" s="454">
        <f>IF(AL407=0,0,AN407/AL407)</f>
        <v>9.3596772017938062E-2</v>
      </c>
      <c r="AP407" s="94"/>
      <c r="AQ407" s="453">
        <v>7795760.1900000032</v>
      </c>
      <c r="AR407" s="621">
        <f t="shared" si="99"/>
        <v>-3256400.4200000037</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696.6516011440192</v>
      </c>
      <c r="Z409" s="457">
        <f t="shared" ref="Z409:Z418" si="101">+SUMIF($C:$C,$V409,F:F)</f>
        <v>436103.90231615602</v>
      </c>
      <c r="AA409" s="456"/>
      <c r="AB409" s="464"/>
      <c r="AC409" s="457"/>
      <c r="AD409" s="465"/>
      <c r="AE409" s="464">
        <f t="shared" ref="AE409:AE414" si="102">IF(AF409=0,0,AF409/(J$13+J$97))</f>
        <v>666.53471454880298</v>
      </c>
      <c r="AF409" s="457">
        <f t="shared" ref="AF409:AF418" si="103">+SUMIF($C:$C,$V409,L:L)</f>
        <v>361928.35000000003</v>
      </c>
      <c r="AG409" s="458">
        <f t="shared" ref="AG409:AG418" si="104">AE409-Y409</f>
        <v>-30.116886595216215</v>
      </c>
      <c r="AH409" s="459">
        <f t="shared" ref="AH409:AH418" si="105">AF409-Z409</f>
        <v>-74175.552316155983</v>
      </c>
      <c r="AI409" s="460">
        <f t="shared" ref="AI409:AI418" si="106">IF(Z409=0,0,AH409/Z409)</f>
        <v>-0.1700868804938645</v>
      </c>
      <c r="AJ409" s="465"/>
      <c r="AK409" s="459">
        <f t="shared" ref="AK409:AK418" si="107">AL409/(O$13+O$97)</f>
        <v>657.91800637958522</v>
      </c>
      <c r="AL409" s="457">
        <f t="shared" ref="AL409:AL415" si="108">+SUMIF($C:$C,$V409,Q:Q)</f>
        <v>412514.58999999997</v>
      </c>
      <c r="AM409" s="461">
        <f t="shared" ref="AM409:AM418" si="109">AE409-Y409</f>
        <v>-30.116886595216215</v>
      </c>
      <c r="AN409" s="459">
        <f t="shared" ref="AN409:AN431" si="110">AF409-AL409</f>
        <v>-50586.239999999932</v>
      </c>
      <c r="AO409" s="466">
        <f t="shared" ref="AO409:AO431" si="111">IF(AL409=0,0,AN409/AL409)</f>
        <v>-0.12262897174133874</v>
      </c>
      <c r="AP409" s="94"/>
      <c r="AQ409" s="622">
        <v>778277.40999999992</v>
      </c>
      <c r="AR409" s="512">
        <f t="shared" ref="AR409:AR466" si="112">AF409-AQ409</f>
        <v>-416349.05999999988</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388.9776357827476</v>
      </c>
      <c r="Z410" s="441">
        <f t="shared" si="101"/>
        <v>243500</v>
      </c>
      <c r="AA410" s="440"/>
      <c r="AB410" s="468"/>
      <c r="AC410" s="441"/>
      <c r="AD410" s="469"/>
      <c r="AE410" s="468">
        <f t="shared" si="102"/>
        <v>387.20618784530393</v>
      </c>
      <c r="AF410" s="441">
        <f t="shared" si="103"/>
        <v>210252.96000000002</v>
      </c>
      <c r="AG410" s="442">
        <f t="shared" si="104"/>
        <v>-1.7714479374436678</v>
      </c>
      <c r="AH410" s="443">
        <f t="shared" si="105"/>
        <v>-33247.039999999979</v>
      </c>
      <c r="AI410" s="470">
        <f t="shared" si="106"/>
        <v>-0.13653815195071861</v>
      </c>
      <c r="AJ410" s="469"/>
      <c r="AK410" s="443">
        <f t="shared" si="107"/>
        <v>315.9763955342903</v>
      </c>
      <c r="AL410" s="441">
        <f t="shared" si="108"/>
        <v>198117.2</v>
      </c>
      <c r="AM410" s="445">
        <f t="shared" si="109"/>
        <v>-1.7714479374436678</v>
      </c>
      <c r="AN410" s="443">
        <f t="shared" si="110"/>
        <v>12135.760000000009</v>
      </c>
      <c r="AO410" s="446">
        <f t="shared" si="111"/>
        <v>6.1255458889990413E-2</v>
      </c>
      <c r="AP410" s="94"/>
      <c r="AQ410" s="623">
        <v>469053.9</v>
      </c>
      <c r="AR410" s="620">
        <f t="shared" si="112"/>
        <v>-258800.94</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82.463258785942486</v>
      </c>
      <c r="Z411" s="457">
        <f t="shared" si="101"/>
        <v>51622</v>
      </c>
      <c r="AA411" s="456"/>
      <c r="AB411" s="464"/>
      <c r="AC411" s="457"/>
      <c r="AD411" s="465"/>
      <c r="AE411" s="464">
        <f t="shared" si="102"/>
        <v>56.649300184162065</v>
      </c>
      <c r="AF411" s="457">
        <f t="shared" si="103"/>
        <v>30760.570000000003</v>
      </c>
      <c r="AG411" s="458">
        <f t="shared" si="104"/>
        <v>-25.813958601780421</v>
      </c>
      <c r="AH411" s="459">
        <f t="shared" si="105"/>
        <v>-20861.429999999997</v>
      </c>
      <c r="AI411" s="460">
        <f t="shared" si="106"/>
        <v>-0.40411898027972565</v>
      </c>
      <c r="AJ411" s="465"/>
      <c r="AK411" s="459">
        <f t="shared" si="107"/>
        <v>88.127113237639563</v>
      </c>
      <c r="AL411" s="457">
        <f t="shared" si="108"/>
        <v>55255.700000000004</v>
      </c>
      <c r="AM411" s="461">
        <f t="shared" si="109"/>
        <v>-25.813958601780421</v>
      </c>
      <c r="AN411" s="459">
        <f t="shared" si="110"/>
        <v>-24495.13</v>
      </c>
      <c r="AO411" s="466">
        <f t="shared" si="111"/>
        <v>-0.44330503459371612</v>
      </c>
      <c r="AP411" s="94"/>
      <c r="AQ411" s="622">
        <v>56454.65</v>
      </c>
      <c r="AR411" s="512">
        <f t="shared" si="112"/>
        <v>-25694.079999999998</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22.316293929712462</v>
      </c>
      <c r="Z412" s="457">
        <f t="shared" si="101"/>
        <v>13970</v>
      </c>
      <c r="AA412" s="456"/>
      <c r="AB412" s="464"/>
      <c r="AC412" s="457"/>
      <c r="AD412" s="465"/>
      <c r="AE412" s="464">
        <f t="shared" si="102"/>
        <v>28.813222836095765</v>
      </c>
      <c r="AF412" s="457">
        <f t="shared" si="103"/>
        <v>15645.58</v>
      </c>
      <c r="AG412" s="458">
        <f t="shared" si="104"/>
        <v>6.4969289063833031</v>
      </c>
      <c r="AH412" s="459">
        <f t="shared" si="105"/>
        <v>1675.58</v>
      </c>
      <c r="AI412" s="460">
        <f t="shared" si="106"/>
        <v>0.11994130279169649</v>
      </c>
      <c r="AJ412" s="465"/>
      <c r="AK412" s="459">
        <f t="shared" si="107"/>
        <v>25.337129186602873</v>
      </c>
      <c r="AL412" s="457">
        <f t="shared" si="108"/>
        <v>15886.380000000001</v>
      </c>
      <c r="AM412" s="461">
        <f t="shared" si="109"/>
        <v>6.4969289063833031</v>
      </c>
      <c r="AN412" s="459">
        <f t="shared" si="110"/>
        <v>-240.80000000000109</v>
      </c>
      <c r="AO412" s="466">
        <f t="shared" si="111"/>
        <v>-1.5157638178112387E-2</v>
      </c>
      <c r="AP412" s="94"/>
      <c r="AQ412" s="622">
        <v>3117.25</v>
      </c>
      <c r="AR412" s="512">
        <f t="shared" si="112"/>
        <v>12528.33</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138.41134185303514</v>
      </c>
      <c r="Z413" s="441">
        <f t="shared" si="101"/>
        <v>86645.5</v>
      </c>
      <c r="AA413" s="440"/>
      <c r="AB413" s="468"/>
      <c r="AC413" s="441"/>
      <c r="AD413" s="469"/>
      <c r="AE413" s="468">
        <f t="shared" si="102"/>
        <v>152.28171270718232</v>
      </c>
      <c r="AF413" s="441">
        <f t="shared" si="103"/>
        <v>82688.97</v>
      </c>
      <c r="AG413" s="442">
        <f t="shared" si="104"/>
        <v>13.870370854147183</v>
      </c>
      <c r="AH413" s="443">
        <f t="shared" si="105"/>
        <v>-3956.5299999999988</v>
      </c>
      <c r="AI413" s="470">
        <f t="shared" si="106"/>
        <v>-4.5663421643362886E-2</v>
      </c>
      <c r="AJ413" s="469"/>
      <c r="AK413" s="443">
        <f t="shared" si="107"/>
        <v>134.5893620414673</v>
      </c>
      <c r="AL413" s="441">
        <f t="shared" si="108"/>
        <v>84387.53</v>
      </c>
      <c r="AM413" s="445">
        <f t="shared" si="109"/>
        <v>13.870370854147183</v>
      </c>
      <c r="AN413" s="443">
        <f t="shared" si="110"/>
        <v>-1698.5599999999977</v>
      </c>
      <c r="AO413" s="446">
        <f t="shared" si="111"/>
        <v>-2.012809238521376E-2</v>
      </c>
      <c r="AP413" s="94"/>
      <c r="AQ413" s="623">
        <v>111419.39000000001</v>
      </c>
      <c r="AR413" s="620">
        <f t="shared" si="112"/>
        <v>-28730.420000000013</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214.70926517571885</v>
      </c>
      <c r="Z414" s="457">
        <f t="shared" si="101"/>
        <v>134408</v>
      </c>
      <c r="AA414" s="460"/>
      <c r="AB414" s="464"/>
      <c r="AC414" s="457"/>
      <c r="AD414" s="465"/>
      <c r="AE414" s="464">
        <f t="shared" si="102"/>
        <v>245.24797421731128</v>
      </c>
      <c r="AF414" s="457">
        <f t="shared" si="103"/>
        <v>133169.65000000002</v>
      </c>
      <c r="AG414" s="458">
        <f t="shared" si="104"/>
        <v>30.538709041592426</v>
      </c>
      <c r="AH414" s="459">
        <f t="shared" si="105"/>
        <v>-1238.3499999999767</v>
      </c>
      <c r="AI414" s="460">
        <f t="shared" si="106"/>
        <v>-9.2133652758762622E-3</v>
      </c>
      <c r="AJ414" s="465"/>
      <c r="AK414" s="459">
        <f t="shared" si="107"/>
        <v>213.88387559808595</v>
      </c>
      <c r="AL414" s="457">
        <f t="shared" si="108"/>
        <v>134105.18999999989</v>
      </c>
      <c r="AM414" s="461">
        <f t="shared" si="109"/>
        <v>30.538709041592426</v>
      </c>
      <c r="AN414" s="459">
        <f t="shared" si="110"/>
        <v>-935.53999999986263</v>
      </c>
      <c r="AO414" s="466">
        <f t="shared" si="111"/>
        <v>-6.9761655011253733E-3</v>
      </c>
      <c r="AP414" s="94"/>
      <c r="AQ414" s="622">
        <v>186022.03999999998</v>
      </c>
      <c r="AR414" s="512">
        <f t="shared" si="112"/>
        <v>-52852.389999999956</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495.97556899768188</v>
      </c>
      <c r="Z415" s="457">
        <f t="shared" si="101"/>
        <v>310480.70619254885</v>
      </c>
      <c r="AA415" s="456"/>
      <c r="AB415" s="464"/>
      <c r="AC415" s="457"/>
      <c r="AD415" s="465"/>
      <c r="AE415" s="464">
        <f t="shared" ref="AE415:AE418" si="113">IF(AF415=0,0,AF415/(J$13+J$13))</f>
        <v>149.4915536723164</v>
      </c>
      <c r="AF415" s="457">
        <f t="shared" si="103"/>
        <v>105840.02</v>
      </c>
      <c r="AG415" s="458">
        <f t="shared" si="104"/>
        <v>-346.48401532536548</v>
      </c>
      <c r="AH415" s="459">
        <f t="shared" si="105"/>
        <v>-204640.68619254883</v>
      </c>
      <c r="AI415" s="460">
        <f t="shared" si="106"/>
        <v>-0.65910918814271868</v>
      </c>
      <c r="AJ415" s="465"/>
      <c r="AK415" s="459">
        <f t="shared" si="107"/>
        <v>482.34615629984046</v>
      </c>
      <c r="AL415" s="457">
        <f t="shared" si="108"/>
        <v>302431.03999999998</v>
      </c>
      <c r="AM415" s="461">
        <f t="shared" si="109"/>
        <v>-346.48401532536548</v>
      </c>
      <c r="AN415" s="459">
        <f t="shared" si="110"/>
        <v>-196591.01999999996</v>
      </c>
      <c r="AO415" s="466">
        <f t="shared" si="111"/>
        <v>-0.6500358561078915</v>
      </c>
      <c r="AP415" s="94"/>
      <c r="AQ415" s="622">
        <v>67811.08</v>
      </c>
      <c r="AR415" s="512">
        <f t="shared" si="112"/>
        <v>38028.94</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0.27545433325782132</v>
      </c>
      <c r="Y419" s="472"/>
      <c r="Z419" s="474">
        <f>SUM(Z409:Z418)</f>
        <v>1276730.1085087049</v>
      </c>
      <c r="AA419" s="473"/>
      <c r="AB419" s="472"/>
      <c r="AC419" s="474"/>
      <c r="AD419" s="475">
        <f>AF419/AF$407</f>
        <v>0.20714068671406499</v>
      </c>
      <c r="AE419" s="472"/>
      <c r="AF419" s="474">
        <f>SUM(AF409:AF418)</f>
        <v>940286.1</v>
      </c>
      <c r="AG419" s="476"/>
      <c r="AH419" s="477">
        <f t="shared" ref="AH419:AH451" si="114">AF419-Z419</f>
        <v>-336444.00850870495</v>
      </c>
      <c r="AI419" s="473">
        <f>AH419/Z419</f>
        <v>-0.26352007073890593</v>
      </c>
      <c r="AJ419" s="475">
        <f>IF($AL$407=0,0,AL419/$AL$407)</f>
        <v>0.28974708164222562</v>
      </c>
      <c r="AK419" s="472"/>
      <c r="AL419" s="474">
        <f>SUM(AL409:AL418)</f>
        <v>1202697.6299999999</v>
      </c>
      <c r="AM419" s="478"/>
      <c r="AN419" s="477">
        <f t="shared" si="110"/>
        <v>-262411.52999999991</v>
      </c>
      <c r="AO419" s="454">
        <f t="shared" si="111"/>
        <v>-0.21818578789416915</v>
      </c>
      <c r="AP419" s="94"/>
      <c r="AQ419" s="624">
        <v>1672155.7200000002</v>
      </c>
      <c r="AR419" s="625">
        <f t="shared" si="112"/>
        <v>-731869.62000000023</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107123.39423076925</v>
      </c>
      <c r="AA420" s="456"/>
      <c r="AB420" s="456"/>
      <c r="AC420" s="457"/>
      <c r="AD420" s="465"/>
      <c r="AE420" s="464"/>
      <c r="AF420" s="457">
        <f>SUMIFS(BV_Data_An_Cour!$P:$P,BV_Data_An_Cour!$V:$V,$V420)</f>
        <v>102399.97</v>
      </c>
      <c r="AG420" s="458"/>
      <c r="AH420" s="459">
        <f t="shared" si="114"/>
        <v>-4723.4242307692475</v>
      </c>
      <c r="AI420" s="460">
        <f t="shared" ref="AI420:AI432" si="115">IF(Z420=0,0,AH420/Z420)</f>
        <v>-4.4093302538508718E-2</v>
      </c>
      <c r="AJ420" s="465"/>
      <c r="AK420" s="456"/>
      <c r="AL420" s="457" cm="1">
        <f t="array" ref="AL420">+SUMPRODUCT(('Réel 2024'!$A$8:$A$501=$A420)*('Réel 2024'!$C$3:$AO$3=Z$2),'Réel 2024'!$C$8:$AO$501)</f>
        <v>112559.8</v>
      </c>
      <c r="AM420" s="461"/>
      <c r="AN420" s="459">
        <f t="shared" si="110"/>
        <v>-10159.830000000002</v>
      </c>
      <c r="AO420" s="466">
        <f t="shared" si="111"/>
        <v>-9.0261620933939135E-2</v>
      </c>
      <c r="AP420" s="94"/>
      <c r="AQ420" s="622">
        <v>196581.69999999998</v>
      </c>
      <c r="AR420" s="512">
        <f t="shared" si="112"/>
        <v>-94181.729999999981</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415179.5705128205</v>
      </c>
      <c r="AA421" s="456"/>
      <c r="AB421" s="456"/>
      <c r="AC421" s="457"/>
      <c r="AD421" s="465"/>
      <c r="AE421" s="464"/>
      <c r="AF421" s="457">
        <f t="shared" ref="AF421:AF432" si="117">+SUMIF($C:$C,$V421,L:L)</f>
        <v>390682.08</v>
      </c>
      <c r="AG421" s="458"/>
      <c r="AH421" s="459">
        <f t="shared" si="114"/>
        <v>-24497.490512820485</v>
      </c>
      <c r="AI421" s="460">
        <f t="shared" si="115"/>
        <v>-5.9004566343574504E-2</v>
      </c>
      <c r="AJ421" s="465"/>
      <c r="AK421" s="456"/>
      <c r="AL421" s="457">
        <f t="shared" ref="AL421:AL431" si="118">+SUMIF($C:$C,$V421,Q:Q)</f>
        <v>351521.82999999996</v>
      </c>
      <c r="AM421" s="461"/>
      <c r="AN421" s="459">
        <f t="shared" si="110"/>
        <v>39160.250000000058</v>
      </c>
      <c r="AO421" s="466">
        <f t="shared" si="111"/>
        <v>0.11140204293997918</v>
      </c>
      <c r="AP421" s="94"/>
      <c r="AQ421" s="622">
        <v>480874.87</v>
      </c>
      <c r="AR421" s="512">
        <f t="shared" si="112"/>
        <v>-90192.789999999979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463251.84461538465</v>
      </c>
      <c r="AA422" s="440"/>
      <c r="AB422" s="440"/>
      <c r="AC422" s="441"/>
      <c r="AD422" s="469"/>
      <c r="AE422" s="468"/>
      <c r="AF422" s="441">
        <f t="shared" si="117"/>
        <v>377844.07999999996</v>
      </c>
      <c r="AG422" s="442"/>
      <c r="AH422" s="443">
        <f t="shared" si="114"/>
        <v>-85407.764615384687</v>
      </c>
      <c r="AI422" s="470">
        <f t="shared" si="115"/>
        <v>-0.18436573023534225</v>
      </c>
      <c r="AJ422" s="469"/>
      <c r="AK422" s="440"/>
      <c r="AL422" s="441">
        <f t="shared" si="118"/>
        <v>318443.67</v>
      </c>
      <c r="AM422" s="445"/>
      <c r="AN422" s="443">
        <f t="shared" si="110"/>
        <v>59400.409999999974</v>
      </c>
      <c r="AO422" s="446">
        <f t="shared" si="111"/>
        <v>0.18653349272102027</v>
      </c>
      <c r="AP422" s="94"/>
      <c r="AQ422" s="623">
        <v>263830.23</v>
      </c>
      <c r="AR422" s="620">
        <f t="shared" si="112"/>
        <v>114013.84999999998</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146145</v>
      </c>
      <c r="AA423" s="456"/>
      <c r="AB423" s="456"/>
      <c r="AC423" s="457"/>
      <c r="AD423" s="465"/>
      <c r="AE423" s="464"/>
      <c r="AF423" s="457">
        <f t="shared" si="117"/>
        <v>172357.01</v>
      </c>
      <c r="AG423" s="458"/>
      <c r="AH423" s="459">
        <f t="shared" si="114"/>
        <v>26212.010000000009</v>
      </c>
      <c r="AI423" s="460">
        <f t="shared" si="115"/>
        <v>0.17935618734818165</v>
      </c>
      <c r="AJ423" s="465"/>
      <c r="AK423" s="456"/>
      <c r="AL423" s="457">
        <f t="shared" si="118"/>
        <v>190043.01000000004</v>
      </c>
      <c r="AM423" s="461"/>
      <c r="AN423" s="459">
        <f t="shared" si="110"/>
        <v>-17686.000000000029</v>
      </c>
      <c r="AO423" s="466">
        <f t="shared" si="111"/>
        <v>-9.3063143969357387E-2</v>
      </c>
      <c r="AP423" s="94"/>
      <c r="AQ423" s="622">
        <v>653651.56000000006</v>
      </c>
      <c r="AR423" s="512">
        <f t="shared" si="112"/>
        <v>-481294.55000000005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199170.47128615383</v>
      </c>
      <c r="AA424" s="456"/>
      <c r="AB424" s="456"/>
      <c r="AC424" s="457"/>
      <c r="AD424" s="465"/>
      <c r="AE424" s="464"/>
      <c r="AF424" s="457">
        <f t="shared" si="117"/>
        <v>149338.13</v>
      </c>
      <c r="AG424" s="458"/>
      <c r="AH424" s="459">
        <f t="shared" si="114"/>
        <v>-49832.341286153824</v>
      </c>
      <c r="AI424" s="460">
        <f t="shared" si="115"/>
        <v>-0.25019944454797366</v>
      </c>
      <c r="AJ424" s="465"/>
      <c r="AK424" s="456"/>
      <c r="AL424" s="457">
        <f t="shared" si="118"/>
        <v>196767.75</v>
      </c>
      <c r="AM424" s="461"/>
      <c r="AN424" s="459">
        <f t="shared" si="110"/>
        <v>-47429.619999999995</v>
      </c>
      <c r="AO424" s="466">
        <f t="shared" si="111"/>
        <v>-0.24104366696270094</v>
      </c>
      <c r="AP424" s="94"/>
      <c r="AQ424" s="622">
        <v>399727.32999999996</v>
      </c>
      <c r="AR424" s="512">
        <f t="shared" si="112"/>
        <v>-250389.19999999995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292843.76204365527</v>
      </c>
      <c r="AA428" s="440"/>
      <c r="AB428" s="440"/>
      <c r="AC428" s="441"/>
      <c r="AD428" s="469"/>
      <c r="AE428" s="468"/>
      <c r="AF428" s="441">
        <f t="shared" si="117"/>
        <v>281075.44</v>
      </c>
      <c r="AG428" s="442"/>
      <c r="AH428" s="443">
        <f t="shared" si="114"/>
        <v>-11768.322043655266</v>
      </c>
      <c r="AI428" s="470">
        <f t="shared" si="115"/>
        <v>-4.0186350433173715E-2</v>
      </c>
      <c r="AJ428" s="469"/>
      <c r="AK428" s="440"/>
      <c r="AL428" s="441">
        <f t="shared" si="118"/>
        <v>275295.25</v>
      </c>
      <c r="AM428" s="445"/>
      <c r="AN428" s="443">
        <f t="shared" si="110"/>
        <v>5780.1900000000023</v>
      </c>
      <c r="AO428" s="446">
        <f t="shared" si="111"/>
        <v>2.0996330303555917E-2</v>
      </c>
      <c r="AP428" s="94"/>
      <c r="AQ428" s="623">
        <v>484984.30000000005</v>
      </c>
      <c r="AR428" s="620">
        <f t="shared" si="112"/>
        <v>-203908.86000000004</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356056.73270506109</v>
      </c>
      <c r="AA429" s="456"/>
      <c r="AB429" s="456"/>
      <c r="AC429" s="457"/>
      <c r="AD429" s="465"/>
      <c r="AE429" s="464"/>
      <c r="AF429" s="457">
        <f t="shared" si="117"/>
        <v>362549.73000000004</v>
      </c>
      <c r="AG429" s="458"/>
      <c r="AH429" s="459">
        <f t="shared" si="114"/>
        <v>6492.9972949389485</v>
      </c>
      <c r="AI429" s="460">
        <f t="shared" si="115"/>
        <v>1.8235850353425027E-2</v>
      </c>
      <c r="AJ429" s="465"/>
      <c r="AK429" s="456"/>
      <c r="AL429" s="457">
        <f t="shared" si="118"/>
        <v>368729.65</v>
      </c>
      <c r="AM429" s="461"/>
      <c r="AN429" s="459">
        <f t="shared" si="110"/>
        <v>-6179.9199999999837</v>
      </c>
      <c r="AO429" s="466">
        <f t="shared" si="111"/>
        <v>-1.6760030011147689E-2</v>
      </c>
      <c r="AP429" s="94"/>
      <c r="AQ429" s="622">
        <v>452089.25</v>
      </c>
      <c r="AR429" s="512">
        <f t="shared" si="112"/>
        <v>-89539.51999999996</v>
      </c>
      <c r="AS429" s="5" t="s">
        <v>697</v>
      </c>
      <c r="AT429" s="38"/>
      <c r="AU429" s="38"/>
      <c r="AV429" s="38"/>
      <c r="AW429" s="38"/>
      <c r="AX429" s="38"/>
      <c r="AY429" s="38"/>
      <c r="AZ429" s="38"/>
      <c r="BA429" s="38"/>
      <c r="BB429" s="38"/>
      <c r="BC429" s="38"/>
      <c r="BD429" s="38"/>
      <c r="BE429" s="38"/>
      <c r="BF429" s="38"/>
      <c r="BG429" s="38"/>
      <c r="BH429" s="38"/>
      <c r="BI429" s="38"/>
    </row>
    <row r="430" spans="1:61" ht="20.2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183446.620980651</v>
      </c>
      <c r="AA430" s="456"/>
      <c r="AB430" s="456"/>
      <c r="AC430" s="457"/>
      <c r="AD430" s="465"/>
      <c r="AE430" s="464"/>
      <c r="AF430" s="457">
        <f t="shared" si="117"/>
        <v>161687.62000000002</v>
      </c>
      <c r="AG430" s="458"/>
      <c r="AH430" s="459">
        <f t="shared" si="114"/>
        <v>-21759.000980650977</v>
      </c>
      <c r="AI430" s="460">
        <f t="shared" si="115"/>
        <v>-0.11861216556802102</v>
      </c>
      <c r="AJ430" s="465"/>
      <c r="AK430" s="456"/>
      <c r="AL430" s="457">
        <f t="shared" si="118"/>
        <v>149746.17000000001</v>
      </c>
      <c r="AM430" s="461"/>
      <c r="AN430" s="459">
        <f t="shared" si="110"/>
        <v>11941.450000000012</v>
      </c>
      <c r="AO430" s="466">
        <f t="shared" si="111"/>
        <v>7.9744610496549004E-2</v>
      </c>
      <c r="AP430" s="94"/>
      <c r="AQ430" s="622">
        <v>250596.99999999997</v>
      </c>
      <c r="AR430" s="512">
        <f t="shared" si="112"/>
        <v>-88909.379999999946</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79983.75879606443</v>
      </c>
      <c r="AA431" s="456"/>
      <c r="AB431" s="456"/>
      <c r="AC431" s="457"/>
      <c r="AD431" s="465"/>
      <c r="AE431" s="464"/>
      <c r="AF431" s="457">
        <f t="shared" si="117"/>
        <v>68609.89</v>
      </c>
      <c r="AG431" s="458"/>
      <c r="AH431" s="459">
        <f t="shared" si="114"/>
        <v>-11373.868796064431</v>
      </c>
      <c r="AI431" s="479">
        <f t="shared" si="115"/>
        <v>-0.14220222914335051</v>
      </c>
      <c r="AJ431" s="465"/>
      <c r="AK431" s="456"/>
      <c r="AL431" s="457">
        <f t="shared" si="118"/>
        <v>62137.100000000006</v>
      </c>
      <c r="AM431" s="461"/>
      <c r="AN431" s="459">
        <f t="shared" si="110"/>
        <v>6472.7899999999936</v>
      </c>
      <c r="AO431" s="466">
        <f t="shared" si="111"/>
        <v>0.10416948972513994</v>
      </c>
      <c r="AP431" s="94"/>
      <c r="AQ431" s="622">
        <v>185602.45</v>
      </c>
      <c r="AR431" s="512">
        <f t="shared" si="112"/>
        <v>-116992.56000000001</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0.48397031952385283</v>
      </c>
      <c r="Y433" s="472"/>
      <c r="Z433" s="474">
        <f>SUM(Z420:Z432)</f>
        <v>2243201.1551705603</v>
      </c>
      <c r="AA433" s="473"/>
      <c r="AB433" s="472"/>
      <c r="AC433" s="474"/>
      <c r="AD433" s="475">
        <f>AF433/AF407</f>
        <v>0.45525009135814765</v>
      </c>
      <c r="AE433" s="480"/>
      <c r="AF433" s="474">
        <f>SUM(AF420:AF432)</f>
        <v>2066543.95</v>
      </c>
      <c r="AG433" s="481"/>
      <c r="AH433" s="477">
        <f t="shared" si="114"/>
        <v>-176657.2051705604</v>
      </c>
      <c r="AI433" s="473">
        <f>AH433/Z433</f>
        <v>-7.8752279867263339E-2</v>
      </c>
      <c r="AJ433" s="475">
        <f>IF($AL$407=0,0,AL433/$AL$407)</f>
        <v>0.4879103364120343</v>
      </c>
      <c r="AK433" s="472"/>
      <c r="AL433" s="474">
        <f>SUM(AL420:AL432)</f>
        <v>2025244.23</v>
      </c>
      <c r="AM433" s="482"/>
      <c r="AN433" s="477">
        <f t="shared" ref="AN433:AN451" si="119">AF433-AL433</f>
        <v>41299.719999999972</v>
      </c>
      <c r="AO433" s="454">
        <f t="shared" ref="AO433:AO461" si="120">IF(AL433=0,0,AN433/AL433)</f>
        <v>2.0392463974579486E-2</v>
      </c>
      <c r="AP433" s="94"/>
      <c r="AQ433" s="624">
        <v>3367938.6900000004</v>
      </c>
      <c r="AR433" s="625">
        <f t="shared" si="112"/>
        <v>-1301394.7400000005</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107937.56618561712</v>
      </c>
      <c r="AA434" s="484"/>
      <c r="AB434" s="484"/>
      <c r="AC434" s="485"/>
      <c r="AD434" s="486"/>
      <c r="AE434" s="487"/>
      <c r="AF434" s="485">
        <f t="shared" ref="AF434:AF447" si="122">+SUMIF($C:$C,$V434,L:L)</f>
        <v>137745.08000000002</v>
      </c>
      <c r="AG434" s="486"/>
      <c r="AH434" s="488">
        <f t="shared" si="114"/>
        <v>29807.513814382895</v>
      </c>
      <c r="AI434" s="489">
        <f t="shared" ref="AI434:AI451" si="123">IF(Z434=0,0,AH434/Z434)</f>
        <v>0.27615514104814792</v>
      </c>
      <c r="AJ434" s="486"/>
      <c r="AK434" s="484"/>
      <c r="AL434" s="485">
        <f t="shared" ref="AL434:AL447" si="124">+SUMIF($C:$C,$V434,Q:Q)</f>
        <v>111460.59</v>
      </c>
      <c r="AM434" s="490"/>
      <c r="AN434" s="488">
        <f t="shared" si="119"/>
        <v>26284.49000000002</v>
      </c>
      <c r="AO434" s="462">
        <f t="shared" si="120"/>
        <v>0.23581868712519843</v>
      </c>
      <c r="AP434" s="94"/>
      <c r="AQ434" s="628">
        <v>176878.05000000002</v>
      </c>
      <c r="AR434" s="506">
        <f t="shared" si="112"/>
        <v>-39132.97</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31817.668139639954</v>
      </c>
      <c r="AA435" s="456"/>
      <c r="AB435" s="456"/>
      <c r="AC435" s="457"/>
      <c r="AD435" s="465"/>
      <c r="AE435" s="464"/>
      <c r="AF435" s="457">
        <f t="shared" si="122"/>
        <v>48722.729999999996</v>
      </c>
      <c r="AG435" s="458"/>
      <c r="AH435" s="459">
        <f t="shared" si="114"/>
        <v>16905.061860360041</v>
      </c>
      <c r="AI435" s="460">
        <f t="shared" si="123"/>
        <v>0.53131052175690141</v>
      </c>
      <c r="AJ435" s="465"/>
      <c r="AK435" s="456"/>
      <c r="AL435" s="457">
        <f t="shared" si="124"/>
        <v>25224.929999999978</v>
      </c>
      <c r="AM435" s="461"/>
      <c r="AN435" s="459">
        <f t="shared" si="119"/>
        <v>23497.800000000017</v>
      </c>
      <c r="AO435" s="466">
        <f t="shared" si="120"/>
        <v>0.93153083080904631</v>
      </c>
      <c r="AP435" s="94"/>
      <c r="AQ435" s="622">
        <v>67659.239999999991</v>
      </c>
      <c r="AR435" s="512">
        <f t="shared" si="112"/>
        <v>-18936.509999999995</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171964.8526666667</v>
      </c>
      <c r="AA436" s="440"/>
      <c r="AB436" s="440"/>
      <c r="AC436" s="441"/>
      <c r="AD436" s="469"/>
      <c r="AE436" s="468"/>
      <c r="AF436" s="441">
        <f t="shared" si="122"/>
        <v>165598.27000000002</v>
      </c>
      <c r="AG436" s="442"/>
      <c r="AH436" s="443">
        <f t="shared" si="114"/>
        <v>-6366.5826666666835</v>
      </c>
      <c r="AI436" s="470">
        <f t="shared" si="123"/>
        <v>-3.7022580881731354E-2</v>
      </c>
      <c r="AJ436" s="469"/>
      <c r="AK436" s="440"/>
      <c r="AL436" s="441">
        <f t="shared" si="124"/>
        <v>154802.51</v>
      </c>
      <c r="AM436" s="445"/>
      <c r="AN436" s="443">
        <f t="shared" si="119"/>
        <v>10795.760000000009</v>
      </c>
      <c r="AO436" s="446">
        <f t="shared" si="120"/>
        <v>6.9738920899926032E-2</v>
      </c>
      <c r="AP436" s="94"/>
      <c r="AQ436" s="623">
        <v>276796.59999999998</v>
      </c>
      <c r="AR436" s="620">
        <f t="shared" si="112"/>
        <v>-111198.32999999996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156814.56100644448</v>
      </c>
      <c r="AA437" s="456"/>
      <c r="AB437" s="456"/>
      <c r="AC437" s="457"/>
      <c r="AD437" s="465"/>
      <c r="AE437" s="464"/>
      <c r="AF437" s="457">
        <f t="shared" si="122"/>
        <v>167469.57999999999</v>
      </c>
      <c r="AG437" s="458"/>
      <c r="AH437" s="459">
        <f t="shared" si="114"/>
        <v>10655.01899355551</v>
      </c>
      <c r="AI437" s="460">
        <f t="shared" si="123"/>
        <v>6.7946617489925754E-2</v>
      </c>
      <c r="AJ437" s="465"/>
      <c r="AK437" s="456"/>
      <c r="AL437" s="457">
        <f t="shared" si="124"/>
        <v>148040.22</v>
      </c>
      <c r="AM437" s="461"/>
      <c r="AN437" s="459">
        <f t="shared" si="119"/>
        <v>19429.359999999986</v>
      </c>
      <c r="AO437" s="466">
        <f t="shared" si="120"/>
        <v>0.1312437930719097</v>
      </c>
      <c r="AP437" s="94"/>
      <c r="AQ437" s="622">
        <v>239193.79</v>
      </c>
      <c r="AR437" s="512">
        <f t="shared" si="112"/>
        <v>-71724.210000000021</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27338.90342740278</v>
      </c>
      <c r="AA438" s="456"/>
      <c r="AB438" s="456"/>
      <c r="AC438" s="457"/>
      <c r="AD438" s="465"/>
      <c r="AE438" s="464"/>
      <c r="AF438" s="457">
        <f t="shared" si="122"/>
        <v>31567</v>
      </c>
      <c r="AG438" s="458"/>
      <c r="AH438" s="459">
        <f t="shared" si="114"/>
        <v>4228.0965725972201</v>
      </c>
      <c r="AI438" s="460">
        <f t="shared" si="123"/>
        <v>0.15465494378092887</v>
      </c>
      <c r="AJ438" s="465"/>
      <c r="AK438" s="456"/>
      <c r="AL438" s="457">
        <f t="shared" si="124"/>
        <v>27633.99</v>
      </c>
      <c r="AM438" s="461"/>
      <c r="AN438" s="459">
        <f t="shared" si="119"/>
        <v>3933.0099999999984</v>
      </c>
      <c r="AO438" s="466">
        <f t="shared" si="120"/>
        <v>0.14232508588155376</v>
      </c>
      <c r="AP438" s="94"/>
      <c r="AQ438" s="622">
        <v>42486.400000000001</v>
      </c>
      <c r="AR438" s="512">
        <f t="shared" si="112"/>
        <v>-10919.400000000001</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238426.382183265</v>
      </c>
      <c r="AA439" s="456"/>
      <c r="AB439" s="456"/>
      <c r="AC439" s="457"/>
      <c r="AD439" s="465"/>
      <c r="AE439" s="464"/>
      <c r="AF439" s="457">
        <f t="shared" si="122"/>
        <v>291228.89</v>
      </c>
      <c r="AG439" s="458"/>
      <c r="AH439" s="459">
        <f t="shared" si="114"/>
        <v>52802.507816735015</v>
      </c>
      <c r="AI439" s="460">
        <f t="shared" si="123"/>
        <v>0.22146252161033372</v>
      </c>
      <c r="AJ439" s="465"/>
      <c r="AK439" s="456"/>
      <c r="AL439" s="457">
        <f t="shared" si="124"/>
        <v>221861.46</v>
      </c>
      <c r="AM439" s="461"/>
      <c r="AN439" s="459">
        <f t="shared" si="119"/>
        <v>69367.430000000022</v>
      </c>
      <c r="AO439" s="466">
        <f t="shared" si="120"/>
        <v>0.3126610182769014</v>
      </c>
      <c r="AP439" s="94"/>
      <c r="AQ439" s="622">
        <v>240398.68</v>
      </c>
      <c r="AR439" s="512">
        <f t="shared" si="112"/>
        <v>50830.210000000021</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36768.831088888903</v>
      </c>
      <c r="AA441" s="456"/>
      <c r="AB441" s="464"/>
      <c r="AC441" s="457"/>
      <c r="AD441" s="465"/>
      <c r="AE441" s="464"/>
      <c r="AF441" s="457">
        <f t="shared" si="122"/>
        <v>33758.67</v>
      </c>
      <c r="AG441" s="458"/>
      <c r="AH441" s="459">
        <f t="shared" si="114"/>
        <v>-3010.1610888889045</v>
      </c>
      <c r="AI441" s="460">
        <f t="shared" si="123"/>
        <v>-8.1867195658513567E-2</v>
      </c>
      <c r="AJ441" s="465"/>
      <c r="AK441" s="456"/>
      <c r="AL441" s="457">
        <f t="shared" si="124"/>
        <v>30875.43</v>
      </c>
      <c r="AM441" s="461"/>
      <c r="AN441" s="459">
        <f t="shared" si="119"/>
        <v>2883.239999999998</v>
      </c>
      <c r="AO441" s="466">
        <f t="shared" si="120"/>
        <v>9.3382990941340671E-2</v>
      </c>
      <c r="AP441" s="94"/>
      <c r="AQ441" s="622">
        <v>30518.469999999998</v>
      </c>
      <c r="AR441" s="512">
        <f t="shared" si="112"/>
        <v>3240.2000000000007</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9336.5911808382552</v>
      </c>
      <c r="AA442" s="456"/>
      <c r="AB442" s="456"/>
      <c r="AC442" s="457"/>
      <c r="AD442" s="465"/>
      <c r="AE442" s="464"/>
      <c r="AF442" s="457">
        <f t="shared" si="122"/>
        <v>6387.66</v>
      </c>
      <c r="AG442" s="458"/>
      <c r="AH442" s="459">
        <f t="shared" si="114"/>
        <v>-2948.9311808382554</v>
      </c>
      <c r="AI442" s="479">
        <f t="shared" si="123"/>
        <v>-0.31584666434687947</v>
      </c>
      <c r="AJ442" s="465"/>
      <c r="AK442" s="456"/>
      <c r="AL442" s="457">
        <f t="shared" si="124"/>
        <v>8887.5299999999988</v>
      </c>
      <c r="AM442" s="461"/>
      <c r="AN442" s="459">
        <f t="shared" si="119"/>
        <v>-2499.869999999999</v>
      </c>
      <c r="AO442" s="466">
        <f t="shared" si="120"/>
        <v>-0.28127837543164402</v>
      </c>
      <c r="AP442" s="94"/>
      <c r="AQ442" s="622">
        <v>14808.84</v>
      </c>
      <c r="AR442" s="512">
        <f t="shared" si="112"/>
        <v>-8421.18</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19325.252698262</v>
      </c>
      <c r="AA443" s="456"/>
      <c r="AB443" s="456"/>
      <c r="AC443" s="457"/>
      <c r="AD443" s="465"/>
      <c r="AE443" s="464"/>
      <c r="AF443" s="457">
        <f t="shared" si="122"/>
        <v>16198.64</v>
      </c>
      <c r="AG443" s="458"/>
      <c r="AH443" s="459">
        <f t="shared" si="114"/>
        <v>-3126.6126982620008</v>
      </c>
      <c r="AI443" s="460">
        <f t="shared" si="123"/>
        <v>-0.16178896840728971</v>
      </c>
      <c r="AJ443" s="465"/>
      <c r="AK443" s="456"/>
      <c r="AL443" s="457">
        <f t="shared" si="124"/>
        <v>14451.68</v>
      </c>
      <c r="AM443" s="461"/>
      <c r="AN443" s="459">
        <f t="shared" si="119"/>
        <v>1746.9599999999991</v>
      </c>
      <c r="AO443" s="466">
        <f t="shared" si="120"/>
        <v>0.12088283161542458</v>
      </c>
      <c r="AP443" s="94"/>
      <c r="AQ443" s="622">
        <v>30323.510000000002</v>
      </c>
      <c r="AR443" s="512">
        <f t="shared" si="112"/>
        <v>-14124.870000000003</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5142.7653225808617</v>
      </c>
      <c r="AA444" s="456"/>
      <c r="AB444" s="456"/>
      <c r="AC444" s="457"/>
      <c r="AD444" s="465"/>
      <c r="AE444" s="464"/>
      <c r="AF444" s="457">
        <f t="shared" si="122"/>
        <v>5791.95</v>
      </c>
      <c r="AG444" s="458"/>
      <c r="AH444" s="459">
        <f t="shared" si="114"/>
        <v>649.1846774191381</v>
      </c>
      <c r="AI444" s="479">
        <f t="shared" si="123"/>
        <v>0.12623260769234346</v>
      </c>
      <c r="AJ444" s="465"/>
      <c r="AK444" s="456"/>
      <c r="AL444" s="457">
        <f t="shared" si="124"/>
        <v>4613.74</v>
      </c>
      <c r="AM444" s="461"/>
      <c r="AN444" s="459">
        <f t="shared" si="119"/>
        <v>1178.21</v>
      </c>
      <c r="AO444" s="466">
        <f t="shared" si="120"/>
        <v>0.2553698301161314</v>
      </c>
      <c r="AP444" s="94"/>
      <c r="AQ444" s="622">
        <v>8588.4900000000016</v>
      </c>
      <c r="AR444" s="512">
        <f t="shared" si="112"/>
        <v>-2796.5400000000018</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1646.4809350591388</v>
      </c>
      <c r="AA445" s="456"/>
      <c r="AB445" s="456"/>
      <c r="AC445" s="457"/>
      <c r="AD445" s="465"/>
      <c r="AE445" s="464"/>
      <c r="AF445" s="457">
        <f t="shared" si="122"/>
        <v>3158.1999999999994</v>
      </c>
      <c r="AG445" s="458"/>
      <c r="AH445" s="459">
        <f t="shared" si="114"/>
        <v>1511.7190649408606</v>
      </c>
      <c r="AI445" s="460">
        <f t="shared" si="123"/>
        <v>0.91815157573419592</v>
      </c>
      <c r="AJ445" s="465"/>
      <c r="AK445" s="456"/>
      <c r="AL445" s="457">
        <f t="shared" si="124"/>
        <v>1292.25</v>
      </c>
      <c r="AM445" s="461"/>
      <c r="AN445" s="459">
        <f t="shared" si="119"/>
        <v>1865.9499999999994</v>
      </c>
      <c r="AO445" s="466">
        <f t="shared" si="120"/>
        <v>1.4439543431998447</v>
      </c>
      <c r="AP445" s="94"/>
      <c r="AQ445" s="622">
        <v>3965.16</v>
      </c>
      <c r="AR445" s="512">
        <f t="shared" si="112"/>
        <v>-806.96000000000049</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5042.7243905486393</v>
      </c>
      <c r="AA446" s="456"/>
      <c r="AB446" s="464"/>
      <c r="AC446" s="457"/>
      <c r="AD446" s="465"/>
      <c r="AE446" s="464"/>
      <c r="AF446" s="457">
        <f t="shared" si="122"/>
        <v>1843.8799999999999</v>
      </c>
      <c r="AG446" s="458"/>
      <c r="AH446" s="459">
        <f t="shared" si="114"/>
        <v>-3198.8443905486392</v>
      </c>
      <c r="AI446" s="479">
        <f t="shared" si="123"/>
        <v>-0.63434844794296019</v>
      </c>
      <c r="AJ446" s="465"/>
      <c r="AK446" s="456"/>
      <c r="AL446" s="457">
        <f t="shared" si="124"/>
        <v>3701.2699999999995</v>
      </c>
      <c r="AM446" s="461"/>
      <c r="AN446" s="459">
        <f t="shared" si="119"/>
        <v>-1857.3899999999996</v>
      </c>
      <c r="AO446" s="466">
        <f t="shared" si="120"/>
        <v>-0.50182504923985549</v>
      </c>
      <c r="AP446" s="94"/>
      <c r="AQ446" s="622">
        <v>9676.7800000000007</v>
      </c>
      <c r="AR446" s="512">
        <f t="shared" si="112"/>
        <v>-7832.9000000000005</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40418.959304855358</v>
      </c>
      <c r="AA447" s="456"/>
      <c r="AB447" s="464"/>
      <c r="AC447" s="457"/>
      <c r="AD447" s="465"/>
      <c r="AE447" s="464"/>
      <c r="AF447" s="457">
        <f t="shared" si="122"/>
        <v>27729.88</v>
      </c>
      <c r="AG447" s="458"/>
      <c r="AH447" s="1015">
        <f t="shared" si="114"/>
        <v>-12689.079304855357</v>
      </c>
      <c r="AI447" s="460">
        <f t="shared" si="123"/>
        <v>-0.3139387931576722</v>
      </c>
      <c r="AJ447" s="465"/>
      <c r="AK447" s="456"/>
      <c r="AL447" s="457">
        <f t="shared" si="124"/>
        <v>31642.430000000004</v>
      </c>
      <c r="AM447" s="461"/>
      <c r="AN447" s="459">
        <f t="shared" si="119"/>
        <v>-3912.5500000000029</v>
      </c>
      <c r="AO447" s="466">
        <f t="shared" si="120"/>
        <v>-0.12364884744945323</v>
      </c>
      <c r="AP447" s="94"/>
      <c r="AQ447" s="622">
        <v>39202.850000000006</v>
      </c>
      <c r="AR447" s="512">
        <f t="shared" si="112"/>
        <v>-11472.970000000005</v>
      </c>
      <c r="AS447" s="38"/>
      <c r="AT447" s="38"/>
      <c r="AU447" s="38"/>
      <c r="AV447" s="38"/>
      <c r="AW447" s="38"/>
      <c r="AX447" s="38"/>
      <c r="AY447" s="38"/>
      <c r="AZ447" s="38"/>
      <c r="BA447" s="38"/>
      <c r="BB447" s="38"/>
      <c r="BC447" s="38"/>
      <c r="BD447" s="38"/>
      <c r="BE447" s="38"/>
      <c r="BF447" s="38"/>
      <c r="BG447" s="38"/>
      <c r="BH447" s="38"/>
      <c r="BI447" s="38"/>
      <c r="BJ447" s="38"/>
    </row>
    <row r="448" spans="1:62" ht="1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52501.083778577988</v>
      </c>
      <c r="AA448" s="456"/>
      <c r="AB448" s="464"/>
      <c r="AC448" s="457"/>
      <c r="AD448" s="465"/>
      <c r="AE448" s="464"/>
      <c r="AF448" s="441">
        <f>SUMIFS(BV_Data_An_Cour!$P:$P,BV_Data_An_Cour!$V:$V,$V448)</f>
        <v>56236.89</v>
      </c>
      <c r="AG448" s="458"/>
      <c r="AH448" s="962">
        <f t="shared" si="114"/>
        <v>3735.8062214220117</v>
      </c>
      <c r="AI448" s="460">
        <f t="shared" si="123"/>
        <v>7.115674482411985E-2</v>
      </c>
      <c r="AJ448" s="465"/>
      <c r="AK448" s="456"/>
      <c r="AL448" s="457" cm="1">
        <f t="array" ref="AL448">+SUMPRODUCT(('Réel 2024'!$A$8:$A$501=$A448)*('Réel 2024'!$C$3:$AO$3=Z$2),'Réel 2024'!$C$8:$AO$501)</f>
        <v>55283.519999999982</v>
      </c>
      <c r="AM448" s="461"/>
      <c r="AN448" s="459">
        <f t="shared" si="119"/>
        <v>953.37000000001717</v>
      </c>
      <c r="AO448" s="466">
        <f t="shared" si="120"/>
        <v>1.7245103061455158E-2</v>
      </c>
      <c r="AP448" s="94"/>
      <c r="AQ448" s="623">
        <v>99368.799999999988</v>
      </c>
      <c r="AR448" s="620">
        <f t="shared" si="112"/>
        <v>-43131.909999999989</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0.19514199282284375</v>
      </c>
      <c r="Y452" s="472"/>
      <c r="Z452" s="474">
        <f>+SUM(Z434:Z451)</f>
        <v>904482.62230864714</v>
      </c>
      <c r="AA452" s="473"/>
      <c r="AB452" s="472"/>
      <c r="AC452" s="474"/>
      <c r="AD452" s="475">
        <f>AF452/AF407</f>
        <v>0.21884965509133905</v>
      </c>
      <c r="AE452" s="472"/>
      <c r="AF452" s="474">
        <f>+SUM(AF434:AF451)</f>
        <v>993437.32000000007</v>
      </c>
      <c r="AG452" s="481"/>
      <c r="AH452" s="1012">
        <f>+SUM(AH434:AH451)</f>
        <v>88954.697691352849</v>
      </c>
      <c r="AI452" s="473">
        <f>AH452/Z452</f>
        <v>9.8348708418853181E-2</v>
      </c>
      <c r="AJ452" s="475">
        <f>IF($AL$407=0,0,AL452/$AL$407)</f>
        <v>0.20231299188530738</v>
      </c>
      <c r="AK452" s="473"/>
      <c r="AL452" s="474">
        <f>+SUM(AL434:AL451)</f>
        <v>839771.55000000016</v>
      </c>
      <c r="AM452" s="482"/>
      <c r="AN452" s="477">
        <f>+SUM(AN434:AN451)</f>
        <v>153665.77000000005</v>
      </c>
      <c r="AO452" s="495">
        <f t="shared" si="120"/>
        <v>0.182985205917014</v>
      </c>
      <c r="AP452" s="94"/>
      <c r="AQ452" s="624">
        <v>1279865.6600000001</v>
      </c>
      <c r="AR452" s="625">
        <f t="shared" si="112"/>
        <v>-286428.34000000008</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252000</v>
      </c>
      <c r="AA453" s="456"/>
      <c r="AB453" s="464"/>
      <c r="AC453" s="457"/>
      <c r="AD453" s="465"/>
      <c r="AE453" s="464"/>
      <c r="AF453" s="457">
        <f>SUMIFS(BV_Data_An_Cour!$P:$P,BV_Data_An_Cour!$V:$V,$V453)</f>
        <v>252000</v>
      </c>
      <c r="AG453" s="458"/>
      <c r="AH453" s="459">
        <f t="shared" ref="AH453:AH461" si="126">AF453-Z453</f>
        <v>0</v>
      </c>
      <c r="AI453" s="460">
        <f t="shared" ref="AI453:AI461" si="127">IF(Z453=0,0,AH453/Z453)</f>
        <v>0</v>
      </c>
      <c r="AJ453" s="465"/>
      <c r="AK453" s="456"/>
      <c r="AL453" s="457" cm="1">
        <f t="array" ref="AL453">+SUMPRODUCT(('Réel 2024'!$A$8:$A$501=$A453)*('Réel 2024'!$C$3:$AO$3=Z$2),'Réel 2024'!$C$8:$AO$501)</f>
        <v>252000</v>
      </c>
      <c r="AM453" s="461"/>
      <c r="AN453" s="459">
        <f t="shared" ref="AN453:AN461" si="128">AF453-AL453</f>
        <v>0</v>
      </c>
      <c r="AO453" s="466">
        <f t="shared" si="120"/>
        <v>0</v>
      </c>
      <c r="AP453" s="94"/>
      <c r="AQ453" s="622">
        <v>312000</v>
      </c>
      <c r="AR453" s="512">
        <f t="shared" si="112"/>
        <v>-60000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37964.080000000009</v>
      </c>
      <c r="AA454" s="456"/>
      <c r="AB454" s="464"/>
      <c r="AC454" s="457"/>
      <c r="AD454" s="465"/>
      <c r="AE454" s="464"/>
      <c r="AF454" s="457">
        <f>SUMIFS(BV_Data_An_Cour!$P:$P,BV_Data_An_Cour!$V:$V,$V454)</f>
        <v>37961</v>
      </c>
      <c r="AG454" s="458"/>
      <c r="AH454" s="459">
        <f t="shared" si="126"/>
        <v>-3.0800000000090222</v>
      </c>
      <c r="AI454" s="460">
        <f t="shared" si="127"/>
        <v>-8.1129320136534891E-5</v>
      </c>
      <c r="AJ454" s="465"/>
      <c r="AK454" s="456"/>
      <c r="AL454" s="457" cm="1">
        <f t="array" ref="AL454">+SUMPRODUCT(('Réel 2024'!$A$8:$A$501=$A454)*('Réel 2024'!$C$3:$AO$3=Z$2),'Réel 2024'!$C$8:$AO$501)</f>
        <v>36239</v>
      </c>
      <c r="AM454" s="461"/>
      <c r="AN454" s="459">
        <f t="shared" si="128"/>
        <v>1722</v>
      </c>
      <c r="AO454" s="466">
        <f t="shared" si="120"/>
        <v>4.7517867490824803E-2</v>
      </c>
      <c r="AP454" s="94"/>
      <c r="AQ454" s="622">
        <v>59160</v>
      </c>
      <c r="AR454" s="512">
        <f t="shared" si="112"/>
        <v>-21199</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25262.160000000003</v>
      </c>
      <c r="AA455" s="440"/>
      <c r="AB455" s="468"/>
      <c r="AC455" s="441"/>
      <c r="AD455" s="469"/>
      <c r="AE455" s="468"/>
      <c r="AF455" s="441">
        <f>SUMIFS(BV_Data_An_Cour!$P:$P,BV_Data_An_Cour!$V:$V,$V455)</f>
        <v>27863</v>
      </c>
      <c r="AG455" s="442"/>
      <c r="AH455" s="443">
        <f t="shared" si="126"/>
        <v>2600.8399999999965</v>
      </c>
      <c r="AI455" s="470">
        <f t="shared" si="127"/>
        <v>0.10295398334900881</v>
      </c>
      <c r="AJ455" s="469"/>
      <c r="AK455" s="440"/>
      <c r="AL455" s="441" cm="1">
        <f t="array" ref="AL455">+SUMPRODUCT(('Réel 2024'!$A$8:$A$501=$A455)*('Réel 2024'!$C$3:$AO$3=Z$2),'Réel 2024'!$C$8:$AO$501)</f>
        <v>24712.98</v>
      </c>
      <c r="AM455" s="445"/>
      <c r="AN455" s="443">
        <f t="shared" si="128"/>
        <v>3150.0200000000004</v>
      </c>
      <c r="AO455" s="446">
        <f t="shared" si="120"/>
        <v>0.12746419088268596</v>
      </c>
      <c r="AP455" s="94"/>
      <c r="AQ455" s="623">
        <v>39360</v>
      </c>
      <c r="AR455" s="620">
        <f t="shared" si="112"/>
        <v>-11497</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2024'!$A$8:$A$501=$A456)*('Réel 2024'!$C$3:$AO$3=Z$2),'Réel 2024'!$C$8:$AO$501)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30409.75</v>
      </c>
      <c r="AA457" s="440"/>
      <c r="AB457" s="468"/>
      <c r="AC457" s="441"/>
      <c r="AD457" s="469"/>
      <c r="AE457" s="468"/>
      <c r="AF457" s="441">
        <f>SUMIF(BV_Data_An_Cour!$V:$V,Print_AAD!$V457,BV_Data_An_Cour!$P:$P)</f>
        <v>30409.75</v>
      </c>
      <c r="AG457" s="442"/>
      <c r="AH457" s="443">
        <f t="shared" si="126"/>
        <v>0</v>
      </c>
      <c r="AI457" s="470">
        <f t="shared" si="127"/>
        <v>0</v>
      </c>
      <c r="AJ457" s="469"/>
      <c r="AK457" s="440"/>
      <c r="AL457" s="441" cm="1">
        <f t="array" ref="AL457">+SUMPRODUCT(('Réel 2024'!$A$8:$A$501=$A457)*('Réel 2024'!$C$3:$AO$3=Z$2),'Réel 2024'!$C$8:$AO$501)</f>
        <v>27251.560000000005</v>
      </c>
      <c r="AM457" s="445"/>
      <c r="AN457" s="443">
        <f t="shared" si="128"/>
        <v>3158.1899999999951</v>
      </c>
      <c r="AO457" s="446">
        <f t="shared" si="120"/>
        <v>0.11589024628314835</v>
      </c>
      <c r="AP457" s="94"/>
      <c r="AQ457" s="623">
        <v>51252</v>
      </c>
      <c r="AR457" s="620">
        <f t="shared" si="112"/>
        <v>-20842.25</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25900</v>
      </c>
      <c r="AA458" s="496"/>
      <c r="AB458" s="497"/>
      <c r="AC458" s="457"/>
      <c r="AD458" s="465"/>
      <c r="AE458" s="464"/>
      <c r="AF458" s="457">
        <f>SUMIFS(BV_Data_An_Cour!$P:$P,BV_Data_An_Cour!$V:$V,$V458)</f>
        <v>47552.61</v>
      </c>
      <c r="AG458" s="458"/>
      <c r="AH458" s="459">
        <f t="shared" si="126"/>
        <v>21652.61</v>
      </c>
      <c r="AI458" s="460">
        <f t="shared" si="127"/>
        <v>0.83600810810810811</v>
      </c>
      <c r="AJ458" s="465"/>
      <c r="AK458" s="456"/>
      <c r="AL458" s="457" cm="1">
        <f t="array" ref="AL458">+SUMPRODUCT(('Réel 2024'!$A$8:$A$501=$A458)*('Réel 2024'!$C$3:$AO$3=Z$2),'Réel 2024'!$C$8:$AO$501)</f>
        <v>28591.469999999979</v>
      </c>
      <c r="AM458" s="461"/>
      <c r="AN458" s="459">
        <f t="shared" si="128"/>
        <v>18961.140000000021</v>
      </c>
      <c r="AO458" s="466">
        <f t="shared" si="120"/>
        <v>0.66317471609539613</v>
      </c>
      <c r="AP458" s="94"/>
      <c r="AQ458" s="622">
        <v>28763.690000000002</v>
      </c>
      <c r="AR458" s="512">
        <f t="shared" si="112"/>
        <v>18788.919999999998</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47488.350000000006</v>
      </c>
      <c r="AA459" s="456"/>
      <c r="AB459" s="464"/>
      <c r="AC459" s="457"/>
      <c r="AD459" s="465"/>
      <c r="AE459" s="464"/>
      <c r="AF459" s="457">
        <f>SUMIFS(BV_Data_An_Cour!$P:$P,BV_Data_An_Cour!$V:$V,$V459)</f>
        <v>52169.34</v>
      </c>
      <c r="AG459" s="458"/>
      <c r="AH459" s="459">
        <f t="shared" si="126"/>
        <v>4680.9899999999907</v>
      </c>
      <c r="AI459" s="460">
        <f t="shared" si="127"/>
        <v>9.8571333811345099E-2</v>
      </c>
      <c r="AJ459" s="465"/>
      <c r="AK459" s="456"/>
      <c r="AL459" s="457" cm="1">
        <f t="array" ref="AL459">+SUMPRODUCT(('Réel 2024'!$A$8:$A$501=$A459)*('Réel 2024'!$C$3:$AO$3=Z$2),'Réel 2024'!$C$8:$AO$501)</f>
        <v>48563.309999999925</v>
      </c>
      <c r="AM459" s="461"/>
      <c r="AN459" s="459">
        <f t="shared" si="128"/>
        <v>3606.0300000000716</v>
      </c>
      <c r="AO459" s="466">
        <f t="shared" si="120"/>
        <v>7.4254205489701533E-2</v>
      </c>
      <c r="AP459" s="94"/>
      <c r="AQ459" s="622">
        <v>73723.959999999992</v>
      </c>
      <c r="AR459" s="512">
        <f t="shared" si="112"/>
        <v>-21554.619999999995</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9551.9363853517589</v>
      </c>
      <c r="AA460" s="440"/>
      <c r="AB460" s="468"/>
      <c r="AC460" s="441"/>
      <c r="AD460" s="469"/>
      <c r="AE460" s="468"/>
      <c r="AF460" s="441">
        <f>SUMIFS(BV_Data_An_Cour!$P:$P,BV_Data_An_Cour!$V:$V,$V460)</f>
        <v>5633.89</v>
      </c>
      <c r="AG460" s="442"/>
      <c r="AH460" s="443">
        <f t="shared" si="126"/>
        <v>-3918.0463853517585</v>
      </c>
      <c r="AI460" s="470">
        <f t="shared" si="127"/>
        <v>-0.41018346723500221</v>
      </c>
      <c r="AJ460" s="469"/>
      <c r="AK460" s="440"/>
      <c r="AL460" s="441" cm="1">
        <f t="array" ref="AL460">+SUMPRODUCT(('Réel 2024'!$A$8:$A$501=$A460)*('Réel 2024'!$C$3:$AO$3=Z$2),'Réel 2024'!$C$8:$AO$501)</f>
        <v>2662</v>
      </c>
      <c r="AM460" s="445"/>
      <c r="AN460" s="443">
        <f t="shared" si="128"/>
        <v>2971.8900000000003</v>
      </c>
      <c r="AO460" s="446">
        <f t="shared" si="120"/>
        <v>1.1164124718256951</v>
      </c>
      <c r="AP460" s="94"/>
      <c r="AQ460" s="623">
        <v>18683.22</v>
      </c>
      <c r="AR460" s="620">
        <f t="shared" si="112"/>
        <v>-13049.330000000002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7000</v>
      </c>
      <c r="AA461" s="456"/>
      <c r="AB461" s="464"/>
      <c r="AC461" s="457"/>
      <c r="AD461" s="465"/>
      <c r="AE461" s="464"/>
      <c r="AF461" s="457">
        <f>SUMIFS(BV_Data_An_Cour!$P:$P,BV_Data_An_Cour!$V:$V,$V461)</f>
        <v>7585.13</v>
      </c>
      <c r="AG461" s="458"/>
      <c r="AH461" s="459">
        <f t="shared" si="126"/>
        <v>585.13000000000011</v>
      </c>
      <c r="AI461" s="498">
        <f t="shared" si="127"/>
        <v>8.3590000000000012E-2</v>
      </c>
      <c r="AJ461" s="456"/>
      <c r="AK461" s="456"/>
      <c r="AL461" s="457" cm="1">
        <f t="array" ref="AL461">+SUMPRODUCT(('Réel 2024'!$A$8:$A$501=$A461)*('Réel 2024'!$C$3:$AO$3=Z$2),'Réel 2024'!$C$8:$AO$501)</f>
        <v>6310.6200000000008</v>
      </c>
      <c r="AM461" s="461"/>
      <c r="AN461" s="459">
        <f t="shared" si="128"/>
        <v>1274.5099999999993</v>
      </c>
      <c r="AO461" s="466">
        <f t="shared" si="120"/>
        <v>0.20196272315556937</v>
      </c>
      <c r="AP461" s="94"/>
      <c r="AQ461" s="622">
        <v>0</v>
      </c>
      <c r="AR461" s="512">
        <f t="shared" si="112"/>
        <v>7585.13</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2024'!$A$8:$A$501=$A462)*('Réel 2024'!$C$3:$AO$3=Z$2),'Réel 2024'!$C$8:$AO$501)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9.3975517609431791E-2</v>
      </c>
      <c r="Y466" s="472"/>
      <c r="Z466" s="474">
        <f>SUM(Z453:Z465)</f>
        <v>435576.27638535172</v>
      </c>
      <c r="AA466" s="473"/>
      <c r="AB466" s="472"/>
      <c r="AC466" s="474"/>
      <c r="AD466" s="475">
        <f>AF466/AF407</f>
        <v>0.1015946616630477</v>
      </c>
      <c r="AE466" s="472"/>
      <c r="AF466" s="474">
        <f>SUM(AF453:AF465)</f>
        <v>461174.72</v>
      </c>
      <c r="AG466" s="481"/>
      <c r="AH466" s="1012">
        <f>SUM(AH453:AH465)</f>
        <v>25598.443614648222</v>
      </c>
      <c r="AI466" s="473">
        <f>IF(Z466=0,0,AH466/Z466)</f>
        <v>5.8769141026407581E-2</v>
      </c>
      <c r="AJ466" s="475">
        <f>IF($AL$407=0,0,AL466/$AL$407)</f>
        <v>0.10270922848562258</v>
      </c>
      <c r="AK466" s="473"/>
      <c r="AL466" s="474">
        <f>SUM(AL453:AL465)</f>
        <v>426330.93999999989</v>
      </c>
      <c r="AM466" s="482"/>
      <c r="AN466" s="477">
        <f>SUM(AN453:AN465)</f>
        <v>34843.780000000093</v>
      </c>
      <c r="AO466" s="495">
        <f t="shared" ref="AO466:AO483" si="129">IF(AL466=0,0,AN466/AL466)</f>
        <v>8.1729418934502154E-2</v>
      </c>
      <c r="AP466" s="94"/>
      <c r="AQ466" s="624">
        <v>582942.87</v>
      </c>
      <c r="AR466" s="625">
        <f t="shared" si="112"/>
        <v>-121768.15000000002</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1.0485421632139498</v>
      </c>
      <c r="Y468" s="472"/>
      <c r="Z468" s="474">
        <f>Z419+Z433+Z452+Z466</f>
        <v>4859990.1623732643</v>
      </c>
      <c r="AA468" s="473"/>
      <c r="AB468" s="472"/>
      <c r="AC468" s="474"/>
      <c r="AD468" s="475">
        <f>AF468/AF407</f>
        <v>0.98283509482659936</v>
      </c>
      <c r="AE468" s="472"/>
      <c r="AF468" s="474">
        <f>AF419+AF433+AF452+AF466</f>
        <v>4461442.09</v>
      </c>
      <c r="AG468" s="481"/>
      <c r="AH468" s="477">
        <f t="shared" si="130"/>
        <v>-398548.07237326447</v>
      </c>
      <c r="AI468" s="473">
        <f>AH468/Z468</f>
        <v>-8.2005942205167492E-2</v>
      </c>
      <c r="AJ468" s="475">
        <f>IF($AL$407=0,0,AL468/$AL$407)</f>
        <v>1.0826796384251898</v>
      </c>
      <c r="AK468" s="473"/>
      <c r="AL468" s="474">
        <f>AL419+AL433+AL452+AL466</f>
        <v>4494044.3499999996</v>
      </c>
      <c r="AM468" s="482"/>
      <c r="AN468" s="477">
        <f t="shared" si="131"/>
        <v>-32602.259999999776</v>
      </c>
      <c r="AO468" s="454">
        <f t="shared" si="129"/>
        <v>-7.2545478995995625E-3</v>
      </c>
      <c r="AP468" s="94"/>
      <c r="AQ468" s="624">
        <v>6902902.9400000004</v>
      </c>
      <c r="AR468" s="625">
        <f t="shared" ref="AR468:AR481" si="132">AF468-AQ468</f>
        <v>-2441460.8500000006</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60000</v>
      </c>
      <c r="AA469" s="502"/>
      <c r="AB469" s="503"/>
      <c r="AC469" s="485"/>
      <c r="AD469" s="504"/>
      <c r="AE469" s="503"/>
      <c r="AF469" s="457">
        <f>-SUMIFS(BV_Data_An_Cour!$P:$P,BV_Data_An_Cour!$V:$V,$V469)</f>
        <v>102410.56</v>
      </c>
      <c r="AG469" s="505"/>
      <c r="AH469" s="459">
        <f t="shared" si="130"/>
        <v>42410.559999999998</v>
      </c>
      <c r="AI469" s="498">
        <f>IF(AH469=0,0,AH469/Z469)</f>
        <v>0.70684266666666662</v>
      </c>
      <c r="AJ469" s="504"/>
      <c r="AK469" s="502"/>
      <c r="AL469" s="506" cm="1">
        <f t="array" ref="AL469">+SUMPRODUCT(('Réel 2024'!$A$8:$A$501=$A469)*('Réel 2024'!$C$3:$AO$3=Z$2),'Réel 2024'!$C$8:$AO$501)</f>
        <v>101983.03</v>
      </c>
      <c r="AM469" s="507"/>
      <c r="AN469" s="459">
        <f t="shared" si="131"/>
        <v>427.52999999999884</v>
      </c>
      <c r="AO469" s="466">
        <f t="shared" si="129"/>
        <v>4.1921680499196661E-3</v>
      </c>
      <c r="AP469" s="94"/>
      <c r="AQ469" s="622">
        <v>275258.11</v>
      </c>
      <c r="AR469" s="512">
        <f t="shared" si="132"/>
        <v>-172847.55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618183.02702497551</v>
      </c>
      <c r="AA470" s="496"/>
      <c r="AB470" s="497"/>
      <c r="AC470" s="457"/>
      <c r="AD470" s="511"/>
      <c r="AE470" s="497"/>
      <c r="AF470" s="457">
        <f t="shared" ref="AF470:AF480" si="134">+SUMIF($C:$C,$V470,L:L)</f>
        <v>503120.4</v>
      </c>
      <c r="AG470" s="510"/>
      <c r="AH470" s="459">
        <f t="shared" si="130"/>
        <v>-115062.62702497549</v>
      </c>
      <c r="AI470" s="479">
        <f>IF(Z470=0,0,AH470/Z470)</f>
        <v>-0.18613035621297766</v>
      </c>
      <c r="AJ470" s="511"/>
      <c r="AK470" s="496"/>
      <c r="AL470" s="512">
        <f t="shared" ref="AL470:AL476" si="135">+SUMIF($C:$C,$V470,Q:Q)</f>
        <v>615115.4</v>
      </c>
      <c r="AM470" s="508"/>
      <c r="AN470" s="459">
        <f t="shared" si="131"/>
        <v>-111995</v>
      </c>
      <c r="AO470" s="466">
        <f t="shared" si="129"/>
        <v>-0.18207152674116109</v>
      </c>
      <c r="AP470" s="94"/>
      <c r="AQ470" s="622">
        <v>693962.92</v>
      </c>
      <c r="AR470" s="512">
        <f t="shared" si="132"/>
        <v>-190842.52000000002</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50000</v>
      </c>
      <c r="AA471" s="496"/>
      <c r="AB471" s="497"/>
      <c r="AC471" s="457"/>
      <c r="AD471" s="511"/>
      <c r="AE471" s="497"/>
      <c r="AF471" s="457">
        <f t="shared" si="134"/>
        <v>12000</v>
      </c>
      <c r="AG471" s="510"/>
      <c r="AH471" s="459">
        <f t="shared" si="130"/>
        <v>-38000</v>
      </c>
      <c r="AI471" s="479">
        <f t="shared" ref="AI471:AI480" si="136">IF(AH471=0,0,AH471/Z471)</f>
        <v>-0.76</v>
      </c>
      <c r="AJ471" s="511"/>
      <c r="AK471" s="496"/>
      <c r="AL471" s="512">
        <f t="shared" si="135"/>
        <v>38795</v>
      </c>
      <c r="AM471" s="508"/>
      <c r="AN471" s="459">
        <f t="shared" si="131"/>
        <v>-26795</v>
      </c>
      <c r="AO471" s="466">
        <f t="shared" si="129"/>
        <v>-0.69068178889032095</v>
      </c>
      <c r="AP471" s="94"/>
      <c r="AQ471" s="622">
        <v>43300</v>
      </c>
      <c r="AR471" s="512">
        <f t="shared" si="132"/>
        <v>-31300</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286854.39999999997</v>
      </c>
      <c r="AA480" s="496"/>
      <c r="AB480" s="497"/>
      <c r="AC480" s="457"/>
      <c r="AD480" s="511"/>
      <c r="AE480" s="497"/>
      <c r="AF480" s="457">
        <f t="shared" si="134"/>
        <v>266592</v>
      </c>
      <c r="AG480" s="510"/>
      <c r="AH480" s="459">
        <f t="shared" si="130"/>
        <v>-20262.399999999965</v>
      </c>
      <c r="AI480" s="479">
        <f t="shared" si="136"/>
        <v>-7.0636531982775821E-2</v>
      </c>
      <c r="AJ480" s="511"/>
      <c r="AK480" s="496"/>
      <c r="AL480" s="512" cm="1">
        <f t="array" ref="AL480">+SUMPRODUCT(('Réel 2024'!$A$8:$A$501=$A480)*('Réel 2024'!$C$3:$AO$3=Z$2),'Réel 2024'!$C$8:$AO$501)</f>
        <v>274633.5</v>
      </c>
      <c r="AM480" s="508"/>
      <c r="AN480" s="459">
        <f t="shared" si="131"/>
        <v>-8041.5</v>
      </c>
      <c r="AO480" s="466">
        <f t="shared" si="129"/>
        <v>-2.9280841557930842E-2</v>
      </c>
      <c r="AP480" s="94"/>
      <c r="AQ480" s="622">
        <v>331468.49</v>
      </c>
      <c r="AR480" s="512">
        <f t="shared" si="132"/>
        <v>-64876.489999999991</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0.21899417569112081</v>
      </c>
      <c r="Y481" s="493"/>
      <c r="Z481" s="474">
        <f>SUM(Z469:Z480)</f>
        <v>1015037.4270249754</v>
      </c>
      <c r="AA481" s="473"/>
      <c r="AB481" s="493"/>
      <c r="AC481" s="474"/>
      <c r="AD481" s="473">
        <f>AF481/+AF407</f>
        <v>0.19476820626623301</v>
      </c>
      <c r="AE481" s="493"/>
      <c r="AF481" s="474">
        <f>SUM(AF469:AF480)</f>
        <v>884122.96</v>
      </c>
      <c r="AG481" s="481"/>
      <c r="AH481" s="477">
        <f t="shared" si="130"/>
        <v>-130914.46702497546</v>
      </c>
      <c r="AI481" s="473">
        <f>AH481/Z481</f>
        <v>-0.12897501465406974</v>
      </c>
      <c r="AJ481" s="514"/>
      <c r="AK481" s="515"/>
      <c r="AL481" s="474">
        <f>SUM(AL469:AL480)</f>
        <v>1030526.93</v>
      </c>
      <c r="AM481" s="516"/>
      <c r="AN481" s="477">
        <f t="shared" si="131"/>
        <v>-146403.97000000009</v>
      </c>
      <c r="AO481" s="495">
        <f t="shared" si="129"/>
        <v>-0.1420670976545951</v>
      </c>
      <c r="AP481" s="94"/>
      <c r="AQ481" s="624">
        <v>1343989.52</v>
      </c>
      <c r="AR481" s="625">
        <f t="shared" si="132"/>
        <v>-459866.56000000006</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2.0344181286125897E-2</v>
      </c>
      <c r="Z483" s="534">
        <f>Z407-Z468+Z481</f>
        <v>790044.62849315722</v>
      </c>
      <c r="AA483" s="532"/>
      <c r="AB483" s="533"/>
      <c r="AC483" s="534"/>
      <c r="AD483" s="532" t="s">
        <v>219</v>
      </c>
      <c r="AE483" s="533">
        <f>AF483/AF406</f>
        <v>2.8139208661723519E-2</v>
      </c>
      <c r="AF483" s="535">
        <f>AF407-AF468+AF481</f>
        <v>962040.63999999966</v>
      </c>
      <c r="AG483" s="536"/>
      <c r="AH483" s="536">
        <f>AF483-Z483</f>
        <v>171996.01150684245</v>
      </c>
      <c r="AI483" s="537">
        <f>AH483/Z483</f>
        <v>0.21770417176924348</v>
      </c>
      <c r="AJ483" s="538" t="s">
        <v>219</v>
      </c>
      <c r="AK483" s="533">
        <f>IF($AL$406=0,0,AL483/$AL$406)</f>
        <v>1.748898282322452E-2</v>
      </c>
      <c r="AL483" s="535">
        <f>AL407-AL468+AL481</f>
        <v>687335.87999999465</v>
      </c>
      <c r="AM483" s="539"/>
      <c r="AN483" s="535">
        <f t="shared" si="131"/>
        <v>274704.76000000502</v>
      </c>
      <c r="AO483" s="540">
        <f t="shared" si="129"/>
        <v>0.39966596825995343</v>
      </c>
      <c r="AP483" s="94"/>
      <c r="AQ483" s="539">
        <v>2236846.7700000028</v>
      </c>
      <c r="AR483" s="543">
        <f>AF483-AQ483</f>
        <v>-1274806.1300000031</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Juillet 2025</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2" t="s">
        <v>3915</v>
      </c>
      <c r="W488" s="1183"/>
      <c r="X488" s="1184" t="s">
        <v>219</v>
      </c>
      <c r="Y488" s="1185">
        <f>Z488/Z406</f>
        <v>2.833926858223592E-2</v>
      </c>
      <c r="Z488" s="1186">
        <f>Z489+Z415</f>
        <v>1100525.3346857061</v>
      </c>
      <c r="AA488" s="1184"/>
      <c r="AB488" s="1185"/>
      <c r="AC488" s="534"/>
      <c r="AD488" s="1184" t="s">
        <v>219</v>
      </c>
      <c r="AE488" s="1185">
        <f>AF488/AF406</f>
        <v>3.1234976432553855E-2</v>
      </c>
      <c r="AF488" s="1186">
        <f>AF489+AF415</f>
        <v>1067880.6599999997</v>
      </c>
      <c r="AG488" s="536"/>
      <c r="AH488" s="536">
        <f t="shared" ref="AH488" si="137">AF488-Z488</f>
        <v>-32644.674685706384</v>
      </c>
      <c r="AI488" s="537">
        <f>AH488/Z488</f>
        <v>-2.9662810711240214E-2</v>
      </c>
      <c r="AJ488" s="1184" t="s">
        <v>219</v>
      </c>
      <c r="AK488" s="1185">
        <f>IF($AL$406=0,0,AL488/$AL$406)</f>
        <v>2.5184218031620693E-2</v>
      </c>
      <c r="AL488" s="1186">
        <f>AL489+AL415</f>
        <v>989766.91999999457</v>
      </c>
      <c r="AM488" s="539"/>
      <c r="AN488" s="1186">
        <f t="shared" ref="AN488" si="138">AF488-AL488</f>
        <v>78113.740000005113</v>
      </c>
      <c r="AO488" s="1187">
        <f t="shared" ref="AO488" si="139">IF(AL488=0,0,AN488/AL488)</f>
        <v>7.8921348472633879E-2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2.0344181286125897E-2</v>
      </c>
      <c r="Z489" s="534">
        <f>Z483</f>
        <v>790044.62849315722</v>
      </c>
      <c r="AA489" s="532"/>
      <c r="AB489" s="533"/>
      <c r="AC489" s="534"/>
      <c r="AD489" s="532" t="s">
        <v>219</v>
      </c>
      <c r="AE489" s="533">
        <f>AF489/AF406</f>
        <v>2.8139208661723519E-2</v>
      </c>
      <c r="AF489" s="534">
        <f>AF483</f>
        <v>962040.63999999966</v>
      </c>
      <c r="AG489" s="535"/>
      <c r="AH489" s="536">
        <f>AF489-Z489</f>
        <v>171996.01150684245</v>
      </c>
      <c r="AI489" s="537">
        <f>AH489/Z489</f>
        <v>0.21770417176924348</v>
      </c>
      <c r="AJ489" s="532" t="s">
        <v>219</v>
      </c>
      <c r="AK489" s="533">
        <f>IF($AL$406=0,0,AL489/$AL$406)</f>
        <v>1.748898282322452E-2</v>
      </c>
      <c r="AL489" s="543">
        <f>AL483</f>
        <v>687335.87999999465</v>
      </c>
      <c r="AM489" s="544"/>
      <c r="AN489" s="545">
        <f>AF489-AL489</f>
        <v>274704.76000000502</v>
      </c>
      <c r="AO489" s="546">
        <f>IF(AL489=0,0,AN489/AL489)</f>
        <v>0.39966596825995343</v>
      </c>
      <c r="AP489" s="94"/>
      <c r="AQ489" s="637">
        <v>2236846.7700000028</v>
      </c>
      <c r="AR489" s="543">
        <f>AF489-AQ489</f>
        <v>-1274806.1300000031</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299536</v>
      </c>
      <c r="AA491" s="456"/>
      <c r="AB491" s="464"/>
      <c r="AC491" s="457"/>
      <c r="AD491" s="456"/>
      <c r="AE491" s="464"/>
      <c r="AF491" s="457">
        <f>SUMIFS(BV_Data_An_Cour!$P:$P,BV_Data_An_Cour!$V:$V,$V491)</f>
        <v>298536</v>
      </c>
      <c r="AG491" s="456"/>
      <c r="AH491" s="459">
        <f t="shared" ref="AH491:AH498" si="140">AF491-Z491</f>
        <v>-1000</v>
      </c>
      <c r="AI491" s="479">
        <f t="shared" ref="AI491:AI497" si="141">IF(Z491=0,0,AH491/Z491)</f>
        <v>-3.3384968751669249E-3</v>
      </c>
      <c r="AJ491" s="456"/>
      <c r="AK491" s="456"/>
      <c r="AL491" s="457" cm="1">
        <f t="array" ref="AL491">+SUMPRODUCT(('Réel 2024'!$A$8:$A$501=$A491)*('Réel 2024'!$C$3:$AO$3=Z$2),'Réel 2024'!$C$8:$AO$501)</f>
        <v>72538</v>
      </c>
      <c r="AM491" s="461"/>
      <c r="AN491" s="459">
        <f t="shared" ref="AN491:AN498" si="142">AF491-AL491</f>
        <v>225998</v>
      </c>
      <c r="AO491" s="466">
        <f t="shared" ref="AO491:AO498" si="143">IF(AL491=0,0,AN491/AL491)</f>
        <v>3.1155807990294742</v>
      </c>
      <c r="AP491" s="94"/>
      <c r="AQ491" s="622">
        <v>51774</v>
      </c>
      <c r="AR491" s="512">
        <f t="shared" ref="AR491:AR493" si="144">AF491-AQ491</f>
        <v>246762</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2024'!$A$8:$A$501=$A492)*('Réel 2024'!$C$3:$AO$3=Z$2),'Réel 2024'!$C$8:$AO$501)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0</v>
      </c>
      <c r="AG493" s="38"/>
      <c r="AH493" s="459">
        <f t="shared" si="140"/>
        <v>0</v>
      </c>
      <c r="AI493" s="479">
        <f t="shared" si="141"/>
        <v>0</v>
      </c>
      <c r="AJ493" s="38"/>
      <c r="AK493" s="38"/>
      <c r="AL493" s="457" cm="1">
        <f t="array" ref="AL493">+SUMPRODUCT(('Réel 2024'!$A$8:$A$501=$A493)*('Réel 2024'!$C$3:$AO$3=Z$2),'Réel 2024'!$C$8:$AO$501)</f>
        <v>-1583.81</v>
      </c>
      <c r="AM493" s="551"/>
      <c r="AN493" s="459">
        <f t="shared" si="142"/>
        <v>1583.81</v>
      </c>
      <c r="AO493" s="466">
        <f t="shared" si="143"/>
        <v>-1</v>
      </c>
      <c r="AP493" s="94"/>
      <c r="AQ493" s="622">
        <v>5121.4799999999996</v>
      </c>
      <c r="AR493" s="512">
        <f t="shared" si="144"/>
        <v>-5121.4799999999996</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2024'!$A$8:$A$501=$A494)*('Réel 2024'!$C$3:$AO$3=Z$2),'Réel 2024'!$C$8:$AO$501)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3861</v>
      </c>
      <c r="W496" s="41"/>
      <c r="X496" s="41"/>
      <c r="Y496" s="41"/>
      <c r="Z496" s="457" cm="1">
        <f t="array" ref="Z496">+SUMPRODUCT(('Budget original'!$A$8:$A$501=$A496)*('Budget original'!$C$3:$AO$3=Z$2),'Budget original'!$C$8:$AO$501)</f>
        <v>-7554.1666666666679</v>
      </c>
      <c r="AA496" s="38"/>
      <c r="AB496" s="38"/>
      <c r="AC496" s="457"/>
      <c r="AD496" s="38"/>
      <c r="AE496" s="41"/>
      <c r="AF496" s="457">
        <f>SUMIFS(BV_Data_An_Cour!$P:$P,BV_Data_An_Cour!$V:$V,$V496)</f>
        <v>-7553</v>
      </c>
      <c r="AG496" s="38"/>
      <c r="AH496" s="459">
        <f t="shared" si="140"/>
        <v>1.1666666666678793</v>
      </c>
      <c r="AI496" s="479">
        <f t="shared" si="141"/>
        <v>-1.5444015444031494E-4</v>
      </c>
      <c r="AJ496" s="38"/>
      <c r="AK496" s="38"/>
      <c r="AL496" s="457" cm="1">
        <f t="array" ref="AL496">+SUMPRODUCT(('Réel 2024'!$A$8:$A$501=$A496)*('Réel 2024'!$C$3:$AO$3=Z$2),'Réel 2024'!$C$8:$AO$501)</f>
        <v>-31902.38</v>
      </c>
      <c r="AM496" s="551"/>
      <c r="AN496" s="459">
        <f t="shared" si="142"/>
        <v>24349.38</v>
      </c>
      <c r="AO496" s="466">
        <f t="shared" si="143"/>
        <v>-0.7632465038658558</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1.2825452425304107E-2</v>
      </c>
      <c r="Z498" s="534">
        <f>Z489-Z491-Z492-Z493-Z497-Z496</f>
        <v>498062.7951598239</v>
      </c>
      <c r="AA498" s="532"/>
      <c r="AB498" s="533"/>
      <c r="AC498" s="534"/>
      <c r="AD498" s="532" t="s">
        <v>219</v>
      </c>
      <c r="AE498" s="533">
        <f>AF498/AF406</f>
        <v>1.9628101112239643E-2</v>
      </c>
      <c r="AF498" s="535">
        <f>AF489-AF491-AF492-AF493-AF497-AF496</f>
        <v>671057.63999999966</v>
      </c>
      <c r="AG498" s="536"/>
      <c r="AH498" s="536">
        <f t="shared" si="140"/>
        <v>172994.84484017576</v>
      </c>
      <c r="AI498" s="537">
        <f>AH498/Z498</f>
        <v>0.34733540935267665</v>
      </c>
      <c r="AJ498" s="538" t="s">
        <v>219</v>
      </c>
      <c r="AK498" s="533">
        <f>IF($AL$406=0,0,AL498/$AL$406)</f>
        <v>1.6495325349231118E-2</v>
      </c>
      <c r="AL498" s="535">
        <f>AL489-AL491-AL492-AL493-AL497-AL496</f>
        <v>648284.06999999471</v>
      </c>
      <c r="AM498" s="539"/>
      <c r="AN498" s="535">
        <f t="shared" si="142"/>
        <v>22773.570000004955</v>
      </c>
      <c r="AO498" s="553">
        <f t="shared" si="143"/>
        <v>3.5128998310887297E-2</v>
      </c>
      <c r="AP498" s="94"/>
      <c r="AQ498" s="544">
        <v>2179951.2900000028</v>
      </c>
      <c r="AR498" s="639">
        <f>AF498-AQ498</f>
        <v>-1508893.6500000032</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498062.7951598239</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1215"/>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4"/>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4"/>
      <c r="AG508" s="1075"/>
      <c r="AH508" s="1073"/>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 ref="O238:Q238"/>
    <mergeCell ref="R238:S238"/>
    <mergeCell ref="G358:I358"/>
    <mergeCell ref="J358:L358"/>
    <mergeCell ref="M358:N358"/>
    <mergeCell ref="O358:Q358"/>
    <mergeCell ref="D238:F238"/>
    <mergeCell ref="G238:I238"/>
    <mergeCell ref="J238:L238"/>
    <mergeCell ref="M238:N238"/>
    <mergeCell ref="G170:I170"/>
    <mergeCell ref="J170:L170"/>
    <mergeCell ref="M170:N170"/>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3"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7" t="s">
        <v>682</v>
      </c>
      <c r="C2" s="1258"/>
      <c r="D2" s="1259"/>
      <c r="E2" s="3"/>
      <c r="F2" s="1257" t="s">
        <v>683</v>
      </c>
      <c r="G2" s="1258"/>
      <c r="H2" s="1259"/>
      <c r="I2" s="3"/>
      <c r="J2" s="589" t="s">
        <v>655</v>
      </c>
      <c r="K2" s="3"/>
      <c r="L2" s="589" t="s">
        <v>684</v>
      </c>
      <c r="M2" s="3"/>
      <c r="N2" s="589" t="s">
        <v>685</v>
      </c>
      <c r="O2" s="3"/>
      <c r="P2" s="1257" t="s">
        <v>686</v>
      </c>
      <c r="Q2" s="1259"/>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87058.76</v>
      </c>
      <c r="C4" s="590">
        <f t="shared" ref="C4:C9" si="0">D4/B4</f>
        <v>0.34657282047205812</v>
      </c>
      <c r="D4" s="565">
        <f>+Print_Mois!L295</f>
        <v>30172.199999999993</v>
      </c>
      <c r="E4" s="3"/>
      <c r="F4" s="565">
        <f>+Print_Mois!G295</f>
        <v>0</v>
      </c>
      <c r="G4" s="590" t="e">
        <f t="shared" ref="G4:G9" si="1">H4/F4</f>
        <v>#DIV/0!</v>
      </c>
      <c r="H4" s="565">
        <f>+Print_Mois!I295</f>
        <v>0</v>
      </c>
      <c r="I4" s="3"/>
      <c r="J4" s="566">
        <f t="shared" ref="J4:J11" si="2">+D4-H4</f>
        <v>30172.199999999993</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18886.29</v>
      </c>
      <c r="C5" s="590">
        <f t="shared" si="0"/>
        <v>0.23393848130045664</v>
      </c>
      <c r="D5" s="565">
        <f>+Print_Mois!L296</f>
        <v>4418.2300000000014</v>
      </c>
      <c r="E5" s="3"/>
      <c r="F5" s="565">
        <f>+Print_Mois!G296</f>
        <v>0</v>
      </c>
      <c r="G5" s="590" t="e">
        <f t="shared" si="1"/>
        <v>#DIV/0!</v>
      </c>
      <c r="H5" s="565">
        <f>+Print_Mois!I296</f>
        <v>0</v>
      </c>
      <c r="I5" s="3"/>
      <c r="J5" s="566">
        <f t="shared" si="2"/>
        <v>4418.2300000000014</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95506.71</v>
      </c>
      <c r="C6" s="590">
        <f t="shared" si="0"/>
        <v>0.23560993777295858</v>
      </c>
      <c r="D6" s="565">
        <f>+Print_Mois!L297</f>
        <v>22502.33</v>
      </c>
      <c r="E6" s="3"/>
      <c r="F6" s="565">
        <f>+Print_Mois!G297</f>
        <v>0</v>
      </c>
      <c r="G6" s="590" t="e">
        <f t="shared" si="1"/>
        <v>#DIV/0!</v>
      </c>
      <c r="H6" s="565">
        <f>+Print_Mois!I297</f>
        <v>0</v>
      </c>
      <c r="I6" s="3"/>
      <c r="J6" s="566">
        <f t="shared" si="2"/>
        <v>22502.33</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73676.91</v>
      </c>
      <c r="C7" s="590">
        <f t="shared" si="0"/>
        <v>0.28959995743578282</v>
      </c>
      <c r="D7" s="565">
        <f>+Print_Mois!L298</f>
        <v>21336.83</v>
      </c>
      <c r="E7" s="3"/>
      <c r="F7" s="565">
        <f>+Print_Mois!G298</f>
        <v>0</v>
      </c>
      <c r="G7" s="590" t="e">
        <f t="shared" si="1"/>
        <v>#DIV/0!</v>
      </c>
      <c r="H7" s="565">
        <f>+Print_Mois!I298</f>
        <v>0</v>
      </c>
      <c r="I7" s="3"/>
      <c r="J7" s="566">
        <f t="shared" si="2"/>
        <v>21336.83</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15743.02</v>
      </c>
      <c r="C8" s="590">
        <f t="shared" si="0"/>
        <v>0.29404713962124168</v>
      </c>
      <c r="D8" s="565">
        <f>+Print_Mois!L299</f>
        <v>4629.1900000000005</v>
      </c>
      <c r="E8" s="3"/>
      <c r="F8" s="565">
        <f>+Print_Mois!G299</f>
        <v>0</v>
      </c>
      <c r="G8" s="590" t="e">
        <f t="shared" si="1"/>
        <v>#DIV/0!</v>
      </c>
      <c r="H8" s="565">
        <f>+Print_Mois!I299</f>
        <v>0</v>
      </c>
      <c r="I8" s="3"/>
      <c r="J8" s="566">
        <f t="shared" si="2"/>
        <v>4629.1900000000005</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186492.61</v>
      </c>
      <c r="C9" s="590">
        <f t="shared" si="0"/>
        <v>0.13094845956630663</v>
      </c>
      <c r="D9" s="565">
        <f>+Print_Mois!L300</f>
        <v>24420.919999999991</v>
      </c>
      <c r="E9" s="3"/>
      <c r="F9" s="565">
        <f>+Print_Mois!G300</f>
        <v>0</v>
      </c>
      <c r="G9" s="590" t="e">
        <f t="shared" si="1"/>
        <v>#DIV/0!</v>
      </c>
      <c r="H9" s="565">
        <f>+Print_Mois!I300</f>
        <v>0</v>
      </c>
      <c r="I9" s="3"/>
      <c r="J9" s="566">
        <f t="shared" si="2"/>
        <v>24420.919999999991</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4672.6899999999996</v>
      </c>
      <c r="E10" s="3"/>
      <c r="F10" s="565"/>
      <c r="G10" s="590"/>
      <c r="H10" s="565">
        <f>+Print_Mois!I302</f>
        <v>0</v>
      </c>
      <c r="I10" s="3"/>
      <c r="J10" s="566">
        <f t="shared" si="2"/>
        <v>4672.6899999999996</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477364.30000000005</v>
      </c>
      <c r="C12" s="592">
        <f>+D12/B12</f>
        <v>0.23494088267597718</v>
      </c>
      <c r="D12" s="591">
        <f>SUM(D4:D11)</f>
        <v>112152.38999999998</v>
      </c>
      <c r="E12" s="3"/>
      <c r="F12" s="591">
        <f>SUM(F4:F11)</f>
        <v>0</v>
      </c>
      <c r="G12" s="592" t="e">
        <f>+H12/F12</f>
        <v>#DIV/0!</v>
      </c>
      <c r="H12" s="591">
        <f>SUM(H4:H11)</f>
        <v>0</v>
      </c>
      <c r="I12" s="3"/>
      <c r="J12" s="591">
        <f>SUM(J4:J11)</f>
        <v>112152.38999999998</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32612.16</v>
      </c>
      <c r="C14" s="590">
        <f t="shared" ref="C14:C15" si="8">D14/B14</f>
        <v>0.1719337204282084</v>
      </c>
      <c r="D14" s="565">
        <f>+Print_Mois!L307</f>
        <v>5607.130000000001</v>
      </c>
      <c r="E14" s="3"/>
      <c r="F14" s="565">
        <f>+Print_Mois!G307</f>
        <v>0</v>
      </c>
      <c r="G14" s="590" t="e">
        <f t="shared" ref="G14:G15" si="9">H14/F14</f>
        <v>#DIV/0!</v>
      </c>
      <c r="H14" s="565">
        <f>+Print_Mois!I307</f>
        <v>0</v>
      </c>
      <c r="I14" s="3"/>
      <c r="J14" s="566">
        <f t="shared" ref="J14:J15" si="10">+D14-H14</f>
        <v>5607.130000000001</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25642.9</v>
      </c>
      <c r="C15" s="590">
        <f t="shared" si="8"/>
        <v>0.28574459207031966</v>
      </c>
      <c r="D15" s="565">
        <f>+Print_Mois!L308</f>
        <v>7327.32</v>
      </c>
      <c r="E15" s="3"/>
      <c r="F15" s="565">
        <f>+Print_Mois!G308</f>
        <v>0</v>
      </c>
      <c r="G15" s="590" t="e">
        <f t="shared" si="9"/>
        <v>#DIV/0!</v>
      </c>
      <c r="H15" s="565">
        <f>+Print_Mois!I308</f>
        <v>0</v>
      </c>
      <c r="I15" s="3"/>
      <c r="J15" s="566">
        <f t="shared" si="10"/>
        <v>7327.32</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58255.06</v>
      </c>
      <c r="C16" s="594">
        <f>+D16/B16</f>
        <v>0.22203135658945336</v>
      </c>
      <c r="D16" s="593">
        <f>SUM(D14:D15)</f>
        <v>12934.45</v>
      </c>
      <c r="E16" s="3"/>
      <c r="F16" s="593">
        <f>SUM(F14:F15)</f>
        <v>0</v>
      </c>
      <c r="G16" s="594" t="e">
        <f>+H16/F16</f>
        <v>#DIV/0!</v>
      </c>
      <c r="H16" s="593">
        <f>SUM(H14:H15)</f>
        <v>0</v>
      </c>
      <c r="I16" s="3"/>
      <c r="J16" s="593">
        <f>SUM(J14:J15)</f>
        <v>12934.45</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535619.3600000001</v>
      </c>
      <c r="C18" s="596">
        <f>+D18/B18</f>
        <v>0.23353681614495778</v>
      </c>
      <c r="D18" s="595">
        <f>+D12+D16</f>
        <v>125086.83999999998</v>
      </c>
      <c r="E18" s="3"/>
      <c r="F18" s="595">
        <f>+F12+F16</f>
        <v>0</v>
      </c>
      <c r="G18" s="596" t="e">
        <f>+H18/F18</f>
        <v>#DIV/0!</v>
      </c>
      <c r="H18" s="595">
        <f>+H12+H16</f>
        <v>0</v>
      </c>
      <c r="I18" s="3"/>
      <c r="J18" s="595">
        <f>+J12+J16</f>
        <v>125086.83999999998</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535619.3600000001</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54" t="s">
        <v>700</v>
      </c>
      <c r="C1" s="1255"/>
      <c r="D1" s="1255"/>
      <c r="E1" s="1255"/>
      <c r="F1" s="1255"/>
      <c r="G1" s="1255"/>
      <c r="H1" s="1255"/>
      <c r="I1" s="1255"/>
      <c r="J1" s="1255"/>
      <c r="K1" s="1255"/>
      <c r="L1" s="1255"/>
      <c r="M1" s="1255"/>
      <c r="N1" s="1255"/>
      <c r="O1" s="1255"/>
      <c r="P1" s="1255"/>
      <c r="Q1" s="1255"/>
      <c r="R1" s="1255"/>
      <c r="S1" s="1255"/>
      <c r="T1" s="1256"/>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392</v>
      </c>
      <c r="D5" s="560">
        <f>Print_AAD!L27/Print_AAD!J27</f>
        <v>3297.9669387755084</v>
      </c>
      <c r="E5" s="561">
        <f t="shared" ref="E5:E6" si="0">+C5*D5</f>
        <v>1292803.0399999993</v>
      </c>
      <c r="F5" s="3"/>
      <c r="G5" s="231" t="s">
        <v>656</v>
      </c>
      <c r="H5" s="559">
        <f>Print_AAD!J108</f>
        <v>368</v>
      </c>
      <c r="I5" s="560">
        <f>Print_AAD!L108/Print_AAD!J108</f>
        <v>2128.053532608697</v>
      </c>
      <c r="J5" s="561">
        <f t="shared" ref="J5:J6" si="1">+H5*I5</f>
        <v>783123.70000000054</v>
      </c>
      <c r="K5" s="3"/>
      <c r="L5" s="231" t="s">
        <v>656</v>
      </c>
      <c r="M5" s="560">
        <f>Print_AAD!K194</f>
        <v>2255419.77</v>
      </c>
      <c r="N5" s="562">
        <f t="shared" ref="N5:N6" si="2">O5/M5</f>
        <v>0.71257452886475314</v>
      </c>
      <c r="O5" s="560">
        <f>Print_AAD!L194</f>
        <v>1607154.68</v>
      </c>
      <c r="P5" s="3"/>
      <c r="Q5" s="231" t="s">
        <v>656</v>
      </c>
      <c r="R5" s="563">
        <f>Print_AAD!J185</f>
        <v>6318</v>
      </c>
      <c r="S5" s="560">
        <f>Print_AAD!K185/Print_AAD!J185</f>
        <v>325.39204336815453</v>
      </c>
      <c r="T5" s="561">
        <f t="shared" ref="T5:T6" si="3">+R5*S5</f>
        <v>2055826.9300000004</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392</v>
      </c>
      <c r="D7" s="570" t="e">
        <f t="shared" si="4"/>
        <v>#DIV/0!</v>
      </c>
      <c r="E7" s="571" t="e">
        <f t="shared" si="4"/>
        <v>#DIV/0!</v>
      </c>
      <c r="F7" s="3"/>
      <c r="G7" s="133" t="s">
        <v>655</v>
      </c>
      <c r="H7" s="569">
        <f t="shared" ref="H7:J7" si="5">+H5-H6</f>
        <v>368</v>
      </c>
      <c r="I7" s="570" t="e">
        <f t="shared" si="5"/>
        <v>#DIV/0!</v>
      </c>
      <c r="J7" s="571" t="e">
        <f t="shared" si="5"/>
        <v>#DIV/0!</v>
      </c>
      <c r="K7" s="3"/>
      <c r="L7" s="133" t="s">
        <v>655</v>
      </c>
      <c r="M7" s="570">
        <f t="shared" ref="M7:O7" si="6">+M5-M6</f>
        <v>2255419.77</v>
      </c>
      <c r="N7" s="572" t="e">
        <f t="shared" si="6"/>
        <v>#DIV/0!</v>
      </c>
      <c r="O7" s="571">
        <f t="shared" si="6"/>
        <v>1607154.68</v>
      </c>
      <c r="P7" s="3"/>
      <c r="Q7" s="133" t="s">
        <v>655</v>
      </c>
      <c r="R7" s="573">
        <f t="shared" ref="R7:T7" si="7">+R5-R6</f>
        <v>6318</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392</v>
      </c>
      <c r="D10" s="561">
        <f t="shared" si="12"/>
        <v>3297.9669387755084</v>
      </c>
      <c r="E10" s="566">
        <f>+C10*D10</f>
        <v>1292803.0399999993</v>
      </c>
      <c r="F10" s="3"/>
      <c r="G10" s="133" t="s">
        <v>702</v>
      </c>
      <c r="H10" s="577">
        <f t="shared" ref="H10:I10" si="13">+H5</f>
        <v>368</v>
      </c>
      <c r="I10" s="561">
        <f t="shared" si="13"/>
        <v>2128.053532608697</v>
      </c>
      <c r="J10" s="566">
        <f>+H10*I10</f>
        <v>783123.70000000054</v>
      </c>
      <c r="K10" s="3"/>
      <c r="L10" s="133" t="s">
        <v>703</v>
      </c>
      <c r="M10" s="561">
        <f t="shared" ref="M10:N10" si="14">+M5</f>
        <v>2255419.77</v>
      </c>
      <c r="N10" s="562">
        <f t="shared" si="14"/>
        <v>0.71257452886475314</v>
      </c>
      <c r="O10" s="566">
        <f>+M10*N10</f>
        <v>1607154.68</v>
      </c>
      <c r="P10" s="3"/>
      <c r="Q10" s="133" t="s">
        <v>704</v>
      </c>
      <c r="R10" s="578">
        <f t="shared" ref="R10:S10" si="15">+R5</f>
        <v>6318</v>
      </c>
      <c r="S10" s="561">
        <f t="shared" si="15"/>
        <v>325.39204336815453</v>
      </c>
      <c r="T10" s="566">
        <f>+R10*S10</f>
        <v>2055826.9300000004</v>
      </c>
      <c r="U10" s="3"/>
      <c r="V10" s="3"/>
      <c r="W10" s="3"/>
      <c r="X10" s="3"/>
      <c r="Y10" s="3"/>
      <c r="Z10" s="3"/>
    </row>
    <row r="11" spans="1:26">
      <c r="A11" s="3"/>
      <c r="B11" s="133" t="s">
        <v>663</v>
      </c>
      <c r="C11" s="577">
        <f>+C5</f>
        <v>392</v>
      </c>
      <c r="D11" s="566" t="e">
        <f>+D6</f>
        <v>#DIV/0!</v>
      </c>
      <c r="E11" s="566" t="e">
        <f>C11*D11</f>
        <v>#DIV/0!</v>
      </c>
      <c r="F11" s="3"/>
      <c r="G11" s="133" t="s">
        <v>663</v>
      </c>
      <c r="H11" s="577">
        <f>+H5</f>
        <v>368</v>
      </c>
      <c r="I11" s="566" t="e">
        <f>+I6</f>
        <v>#DIV/0!</v>
      </c>
      <c r="J11" s="566" t="e">
        <f>H11*I11</f>
        <v>#DIV/0!</v>
      </c>
      <c r="K11" s="3"/>
      <c r="L11" s="133" t="s">
        <v>663</v>
      </c>
      <c r="M11" s="561">
        <f>+M5</f>
        <v>2255419.77</v>
      </c>
      <c r="N11" s="567" t="e">
        <f>+N6</f>
        <v>#DIV/0!</v>
      </c>
      <c r="O11" s="566" t="e">
        <f>M11*N11</f>
        <v>#DIV/0!</v>
      </c>
      <c r="P11" s="3"/>
      <c r="Q11" s="133" t="s">
        <v>664</v>
      </c>
      <c r="R11" s="578">
        <f>+R5</f>
        <v>6318</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392</v>
      </c>
      <c r="D15" s="566" t="e">
        <f>+D6</f>
        <v>#DIV/0!</v>
      </c>
      <c r="E15" s="566" t="e">
        <f>+C15*D15</f>
        <v>#DIV/0!</v>
      </c>
      <c r="F15" s="3"/>
      <c r="G15" s="133" t="s">
        <v>706</v>
      </c>
      <c r="H15" s="577">
        <f t="shared" ref="H15:H16" si="21">+H5</f>
        <v>368</v>
      </c>
      <c r="I15" s="566" t="e">
        <f>+I6</f>
        <v>#DIV/0!</v>
      </c>
      <c r="J15" s="566" t="e">
        <f>+H15*I15</f>
        <v>#DIV/0!</v>
      </c>
      <c r="K15" s="3"/>
      <c r="L15" s="133" t="s">
        <v>707</v>
      </c>
      <c r="M15" s="561">
        <f t="shared" ref="M15:M16" si="22">+M5</f>
        <v>2255419.77</v>
      </c>
      <c r="N15" s="567" t="e">
        <f>+N6</f>
        <v>#DIV/0!</v>
      </c>
      <c r="O15" s="566" t="e">
        <f>+M15*N15</f>
        <v>#DIV/0!</v>
      </c>
      <c r="P15" s="3"/>
      <c r="Q15" s="133" t="s">
        <v>708</v>
      </c>
      <c r="R15" s="578">
        <f t="shared" ref="R15:R16" si="23">+R5</f>
        <v>6318</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392</v>
      </c>
      <c r="D17" s="570" t="e">
        <f t="shared" si="24"/>
        <v>#DIV/0!</v>
      </c>
      <c r="E17" s="571" t="e">
        <f t="shared" si="24"/>
        <v>#DIV/0!</v>
      </c>
      <c r="F17" s="3"/>
      <c r="G17" s="133" t="s">
        <v>665</v>
      </c>
      <c r="H17" s="569">
        <f t="shared" ref="H17:J17" si="25">+H15-H16</f>
        <v>368</v>
      </c>
      <c r="I17" s="570" t="e">
        <f t="shared" si="25"/>
        <v>#DIV/0!</v>
      </c>
      <c r="J17" s="571" t="e">
        <f t="shared" si="25"/>
        <v>#DIV/0!</v>
      </c>
      <c r="K17" s="3"/>
      <c r="L17" s="133" t="s">
        <v>665</v>
      </c>
      <c r="M17" s="570">
        <f t="shared" ref="M17:O17" si="26">+M15-M16</f>
        <v>2255419.77</v>
      </c>
      <c r="N17" s="572" t="e">
        <f t="shared" si="26"/>
        <v>#DIV/0!</v>
      </c>
      <c r="O17" s="571" t="e">
        <f t="shared" si="26"/>
        <v>#DIV/0!</v>
      </c>
      <c r="P17" s="3"/>
      <c r="Q17" s="133" t="s">
        <v>665</v>
      </c>
      <c r="R17" s="573">
        <f t="shared" ref="R17:T17" si="27">+R15-R16</f>
        <v>6318</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392</v>
      </c>
      <c r="D20" s="566" t="e">
        <f t="shared" si="28"/>
        <v>#DIV/0!</v>
      </c>
      <c r="E20" s="566" t="e">
        <f>+C20*D20</f>
        <v>#DIV/0!</v>
      </c>
      <c r="F20" s="3"/>
      <c r="G20" s="133" t="s">
        <v>672</v>
      </c>
      <c r="H20" s="579">
        <f t="shared" ref="H20:I20" si="29">MAX(H5:H6)</f>
        <v>368</v>
      </c>
      <c r="I20" s="566" t="e">
        <f t="shared" si="29"/>
        <v>#DIV/0!</v>
      </c>
      <c r="J20" s="566" t="e">
        <f>+H20*I20</f>
        <v>#DIV/0!</v>
      </c>
      <c r="K20" s="3"/>
      <c r="L20" s="133" t="s">
        <v>672</v>
      </c>
      <c r="M20" s="566">
        <f t="shared" ref="M20:N20" si="30">MAX(M5:M6)</f>
        <v>2255419.77</v>
      </c>
      <c r="N20" s="567" t="e">
        <f t="shared" si="30"/>
        <v>#DIV/0!</v>
      </c>
      <c r="O20" s="566" t="e">
        <f>+M20*N20</f>
        <v>#DIV/0!</v>
      </c>
      <c r="P20" s="3"/>
      <c r="Q20" s="133" t="s">
        <v>672</v>
      </c>
      <c r="R20" s="580">
        <f t="shared" ref="R20:S20" si="31">MAX(R5:R6)</f>
        <v>6318</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392</v>
      </c>
      <c r="D23" s="570" t="e">
        <f t="shared" si="36"/>
        <v>#DIV/0!</v>
      </c>
      <c r="E23" s="570" t="e">
        <f t="shared" si="36"/>
        <v>#DIV/0!</v>
      </c>
      <c r="F23" s="3"/>
      <c r="G23" s="133" t="s">
        <v>674</v>
      </c>
      <c r="H23" s="569">
        <f t="shared" ref="H23:J23" si="37">+H20-H22</f>
        <v>368</v>
      </c>
      <c r="I23" s="570" t="e">
        <f t="shared" si="37"/>
        <v>#DIV/0!</v>
      </c>
      <c r="J23" s="570" t="e">
        <f t="shared" si="37"/>
        <v>#DIV/0!</v>
      </c>
      <c r="K23" s="3"/>
      <c r="L23" s="133" t="s">
        <v>674</v>
      </c>
      <c r="M23" s="570">
        <f t="shared" ref="M23:O23" si="38">+M20-M22</f>
        <v>2255419.77</v>
      </c>
      <c r="N23" s="572" t="e">
        <f t="shared" si="38"/>
        <v>#DIV/0!</v>
      </c>
      <c r="O23" s="570" t="e">
        <f t="shared" si="38"/>
        <v>#DIV/0!</v>
      </c>
      <c r="P23" s="3"/>
      <c r="Q23" s="133" t="s">
        <v>674</v>
      </c>
      <c r="R23" s="573">
        <f t="shared" ref="R23:T23" si="39">+R20-R22</f>
        <v>6318</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392</v>
      </c>
      <c r="D32" s="566">
        <f t="shared" ref="D32:D33" si="40">+E32/C32</f>
        <v>-293.52710975759055</v>
      </c>
      <c r="E32" s="566">
        <f>+Print_AAD!N78</f>
        <v>-115062.62702497549</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392</v>
      </c>
      <c r="D33" s="566">
        <f t="shared" si="40"/>
        <v>-70.593622448979545</v>
      </c>
      <c r="E33" s="566">
        <f>+Print_AAD!N82</f>
        <v>-27672.699999999983</v>
      </c>
      <c r="F33" s="3"/>
      <c r="G33" s="133" t="s">
        <v>681</v>
      </c>
      <c r="H33" s="588">
        <f>+H17</f>
        <v>368</v>
      </c>
      <c r="I33" s="566">
        <f>+J33/H33</f>
        <v>20.136684782608704</v>
      </c>
      <c r="J33" s="566">
        <f>+Print_AAD!N159</f>
        <v>7410.3000000000029</v>
      </c>
      <c r="K33" s="3"/>
      <c r="L33" s="3"/>
      <c r="M33" s="3"/>
      <c r="N33" s="3"/>
      <c r="O33" s="3"/>
      <c r="P33" s="3"/>
      <c r="Q33" s="3"/>
      <c r="R33" s="3"/>
      <c r="S33" s="3"/>
      <c r="T33" s="3"/>
      <c r="U33" s="3"/>
      <c r="V33" s="3"/>
      <c r="W33" s="3"/>
      <c r="X33" s="3"/>
      <c r="Y33" s="3"/>
      <c r="Z33" s="3"/>
    </row>
    <row r="34" spans="1:26" ht="15.75" customHeight="1">
      <c r="A34" s="3"/>
      <c r="B34" s="3"/>
      <c r="C34" s="3"/>
      <c r="D34" s="3"/>
      <c r="E34" s="570">
        <f>SUM(E32:E33)</f>
        <v>-142735.32702497547</v>
      </c>
      <c r="F34" s="3"/>
      <c r="G34" s="3"/>
      <c r="H34" s="3"/>
      <c r="I34" s="3"/>
      <c r="J34" s="570">
        <f>SUM(J32:J33)</f>
        <v>7410.3000000000029</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scale="58" fitToHeight="0" orientation="landscape" r:id="rId1"/>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57" t="s">
        <v>682</v>
      </c>
      <c r="C2" s="1258"/>
      <c r="D2" s="1259"/>
      <c r="E2" s="3"/>
      <c r="F2" s="1257" t="s">
        <v>683</v>
      </c>
      <c r="G2" s="1258"/>
      <c r="H2" s="1259"/>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575186.19000000006</v>
      </c>
      <c r="C4" s="590">
        <f t="shared" ref="C4:C9" si="0">D4/B4</f>
        <v>0.32271758819522428</v>
      </c>
      <c r="D4" s="565">
        <f>+Print_AAD!L295</f>
        <v>185622.70000000004</v>
      </c>
      <c r="E4" s="3"/>
      <c r="F4" s="565">
        <f>+Print_AAD!G295</f>
        <v>0</v>
      </c>
      <c r="G4" s="590" t="e">
        <f t="shared" ref="G4:G9" si="1">H4/F4</f>
        <v>#DIV/0!</v>
      </c>
      <c r="H4" s="565">
        <f>+Print_AAD!I295</f>
        <v>0</v>
      </c>
      <c r="I4" s="3"/>
      <c r="J4" s="566">
        <f t="shared" ref="J4:J11" si="2">+D4-H4</f>
        <v>185622.70000000004</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50025.53</v>
      </c>
      <c r="C5" s="590">
        <f t="shared" si="0"/>
        <v>0.23516312570801337</v>
      </c>
      <c r="D5" s="565">
        <f>+Print_AAD!L296</f>
        <v>11764.159999999994</v>
      </c>
      <c r="E5" s="3"/>
      <c r="F5" s="565">
        <f>+Print_AAD!G296</f>
        <v>0</v>
      </c>
      <c r="G5" s="590" t="e">
        <f t="shared" si="1"/>
        <v>#DIV/0!</v>
      </c>
      <c r="H5" s="565">
        <f>+Print_AAD!I296</f>
        <v>0</v>
      </c>
      <c r="I5" s="3"/>
      <c r="J5" s="566">
        <f t="shared" si="2"/>
        <v>11764.159999999994</v>
      </c>
      <c r="K5" s="3"/>
      <c r="L5" s="566" t="e">
        <f t="shared" si="3"/>
        <v>#DIV/0!</v>
      </c>
      <c r="M5" s="3"/>
      <c r="N5" s="566" t="e">
        <f t="shared" si="4"/>
        <v>#DIV/0!</v>
      </c>
      <c r="O5" s="3"/>
      <c r="P5" s="3"/>
      <c r="Q5" s="3"/>
      <c r="R5" s="3"/>
      <c r="S5" s="3"/>
      <c r="T5" s="3"/>
      <c r="U5" s="3"/>
      <c r="V5" s="3"/>
      <c r="W5" s="3"/>
      <c r="X5" s="3"/>
      <c r="Y5" s="3"/>
      <c r="Z5" s="3"/>
    </row>
    <row r="6" spans="1:26">
      <c r="A6" s="3" t="s">
        <v>184</v>
      </c>
      <c r="B6" s="565">
        <f>+Print_AAD!J297</f>
        <v>615082.41</v>
      </c>
      <c r="C6" s="590">
        <f t="shared" si="0"/>
        <v>0.23362126385633433</v>
      </c>
      <c r="D6" s="565">
        <f>+Print_AAD!L297</f>
        <v>143696.33000000002</v>
      </c>
      <c r="E6" s="3"/>
      <c r="F6" s="565">
        <f>+Print_AAD!G297</f>
        <v>0</v>
      </c>
      <c r="G6" s="590" t="e">
        <f t="shared" si="1"/>
        <v>#DIV/0!</v>
      </c>
      <c r="H6" s="565">
        <f>+Print_AAD!I297</f>
        <v>0</v>
      </c>
      <c r="I6" s="3"/>
      <c r="J6" s="566">
        <f t="shared" si="2"/>
        <v>143696.33000000002</v>
      </c>
      <c r="K6" s="3"/>
      <c r="L6" s="566" t="e">
        <f t="shared" si="3"/>
        <v>#DIV/0!</v>
      </c>
      <c r="M6" s="3"/>
      <c r="N6" s="566" t="e">
        <f t="shared" si="4"/>
        <v>#DIV/0!</v>
      </c>
      <c r="O6" s="3"/>
      <c r="P6" s="3"/>
      <c r="Q6" s="3"/>
      <c r="R6" s="3"/>
      <c r="S6" s="3"/>
      <c r="T6" s="3"/>
      <c r="U6" s="3"/>
      <c r="V6" s="3"/>
      <c r="W6" s="3"/>
      <c r="X6" s="3"/>
      <c r="Y6" s="3"/>
      <c r="Z6" s="3"/>
    </row>
    <row r="7" spans="1:26">
      <c r="A7" s="3" t="s">
        <v>185</v>
      </c>
      <c r="B7" s="565">
        <f>+Print_AAD!J298</f>
        <v>439829.62</v>
      </c>
      <c r="C7" s="590">
        <f t="shared" si="0"/>
        <v>0.28300947535093252</v>
      </c>
      <c r="D7" s="565">
        <f>+Print_AAD!L298</f>
        <v>124475.95000000001</v>
      </c>
      <c r="E7" s="3"/>
      <c r="F7" s="565">
        <f>+Print_AAD!G298</f>
        <v>0</v>
      </c>
      <c r="G7" s="590" t="e">
        <f t="shared" si="1"/>
        <v>#DIV/0!</v>
      </c>
      <c r="H7" s="565">
        <f>+Print_AAD!I298</f>
        <v>0</v>
      </c>
      <c r="I7" s="3"/>
      <c r="J7" s="566">
        <f t="shared" si="2"/>
        <v>124475.95000000001</v>
      </c>
      <c r="K7" s="3"/>
      <c r="L7" s="566" t="e">
        <f t="shared" si="3"/>
        <v>#DIV/0!</v>
      </c>
      <c r="M7" s="3"/>
      <c r="N7" s="566" t="e">
        <f t="shared" si="4"/>
        <v>#DIV/0!</v>
      </c>
      <c r="O7" s="3"/>
      <c r="P7" s="3"/>
      <c r="Q7" s="3"/>
      <c r="R7" s="3"/>
      <c r="S7" s="3"/>
      <c r="T7" s="3"/>
      <c r="U7" s="3"/>
      <c r="V7" s="3"/>
      <c r="W7" s="3"/>
      <c r="X7" s="3"/>
      <c r="Y7" s="3"/>
      <c r="Z7" s="3"/>
    </row>
    <row r="8" spans="1:26">
      <c r="A8" s="3" t="s">
        <v>186</v>
      </c>
      <c r="B8" s="565">
        <f>+Print_AAD!J299</f>
        <v>119392.74</v>
      </c>
      <c r="C8" s="590">
        <f t="shared" si="0"/>
        <v>0.28769647132648107</v>
      </c>
      <c r="D8" s="565">
        <f>+Print_AAD!L299</f>
        <v>34348.87000000001</v>
      </c>
      <c r="E8" s="3"/>
      <c r="F8" s="565">
        <f>+Print_AAD!G299</f>
        <v>0</v>
      </c>
      <c r="G8" s="590" t="e">
        <f t="shared" si="1"/>
        <v>#DIV/0!</v>
      </c>
      <c r="H8" s="565">
        <f>+Print_AAD!I299</f>
        <v>0</v>
      </c>
      <c r="I8" s="3"/>
      <c r="J8" s="566">
        <f t="shared" si="2"/>
        <v>34348.87000000001</v>
      </c>
      <c r="K8" s="3"/>
      <c r="L8" s="566" t="e">
        <f t="shared" si="3"/>
        <v>#DIV/0!</v>
      </c>
      <c r="M8" s="3"/>
      <c r="N8" s="566" t="e">
        <f t="shared" si="4"/>
        <v>#DIV/0!</v>
      </c>
      <c r="O8" s="3"/>
      <c r="P8" s="3"/>
      <c r="Q8" s="3"/>
      <c r="R8" s="3"/>
      <c r="S8" s="3"/>
      <c r="T8" s="3"/>
      <c r="U8" s="3"/>
      <c r="V8" s="3"/>
      <c r="W8" s="3"/>
      <c r="X8" s="3"/>
      <c r="Y8" s="3"/>
      <c r="Z8" s="3"/>
    </row>
    <row r="9" spans="1:26">
      <c r="A9" s="3" t="s">
        <v>187</v>
      </c>
      <c r="B9" s="565">
        <f>+Print_AAD!J300</f>
        <v>1348594.22</v>
      </c>
      <c r="C9" s="590">
        <f t="shared" si="0"/>
        <v>0.13523373991622181</v>
      </c>
      <c r="D9" s="565">
        <f>+Print_AAD!L300</f>
        <v>182375.44</v>
      </c>
      <c r="E9" s="3"/>
      <c r="F9" s="565">
        <f>+Print_AAD!G300</f>
        <v>0</v>
      </c>
      <c r="G9" s="590" t="e">
        <f t="shared" si="1"/>
        <v>#DIV/0!</v>
      </c>
      <c r="H9" s="565">
        <f>+Print_AAD!I300</f>
        <v>0</v>
      </c>
      <c r="I9" s="3"/>
      <c r="J9" s="566">
        <f t="shared" si="2"/>
        <v>182375.44</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58484.480000000003</v>
      </c>
      <c r="E10" s="3"/>
      <c r="F10" s="565"/>
      <c r="G10" s="590"/>
      <c r="H10" s="565">
        <f>+Print_AAD!I302</f>
        <v>0</v>
      </c>
      <c r="I10" s="3"/>
      <c r="J10" s="566">
        <f t="shared" si="2"/>
        <v>58484.480000000003</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3148110.71</v>
      </c>
      <c r="C12" s="592">
        <f>+D12/B12</f>
        <v>0.23530555251660767</v>
      </c>
      <c r="D12" s="591">
        <f>SUM(D4:D11)</f>
        <v>740767.93</v>
      </c>
      <c r="E12" s="3"/>
      <c r="F12" s="591">
        <f>SUM(F4:F11)</f>
        <v>0</v>
      </c>
      <c r="G12" s="592" t="e">
        <f>+H12/F12</f>
        <v>#DIV/0!</v>
      </c>
      <c r="H12" s="591">
        <f>SUM(H4:H11)</f>
        <v>0</v>
      </c>
      <c r="I12" s="3"/>
      <c r="J12" s="591">
        <f>SUM(J4:J11)</f>
        <v>740767.93</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275780.80000000005</v>
      </c>
      <c r="C14" s="590">
        <f t="shared" ref="C14:C15" si="6">D14/B14</f>
        <v>0.16271176238519877</v>
      </c>
      <c r="D14" s="565">
        <f>+Print_AAD!L307</f>
        <v>44872.780000000035</v>
      </c>
      <c r="E14" s="3"/>
      <c r="F14" s="565">
        <f>+Print_AAD!G307</f>
        <v>0</v>
      </c>
      <c r="G14" s="590" t="e">
        <f t="shared" ref="G14:G15" si="7">H14/F14</f>
        <v>#DIV/0!</v>
      </c>
      <c r="H14" s="565">
        <f>+Print_AAD!I307</f>
        <v>0</v>
      </c>
      <c r="I14" s="3"/>
      <c r="J14" s="566">
        <f t="shared" ref="J14:J15" si="8">+D14-H14</f>
        <v>44872.780000000035</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153680.76</v>
      </c>
      <c r="C15" s="590">
        <f t="shared" si="6"/>
        <v>0.26764039948787349</v>
      </c>
      <c r="D15" s="565">
        <f>+Print_AAD!L308</f>
        <v>41131.180000000008</v>
      </c>
      <c r="E15" s="3"/>
      <c r="F15" s="565">
        <f>+Print_AAD!G308</f>
        <v>0</v>
      </c>
      <c r="G15" s="590" t="e">
        <f t="shared" si="7"/>
        <v>#DIV/0!</v>
      </c>
      <c r="H15" s="565">
        <f>+Print_AAD!I308</f>
        <v>0</v>
      </c>
      <c r="I15" s="3"/>
      <c r="J15" s="566">
        <f t="shared" si="8"/>
        <v>41131.180000000008</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429461.56000000006</v>
      </c>
      <c r="C16" s="594">
        <f>+D16/B16</f>
        <v>0.20025997204499521</v>
      </c>
      <c r="D16" s="593">
        <f>SUM(D14:D15)</f>
        <v>86003.96000000005</v>
      </c>
      <c r="E16" s="3"/>
      <c r="F16" s="593">
        <f>SUM(F14:F15)</f>
        <v>0</v>
      </c>
      <c r="G16" s="594" t="e">
        <f>+H16/F16</f>
        <v>#DIV/0!</v>
      </c>
      <c r="H16" s="593">
        <f>SUM(H14:H15)</f>
        <v>0</v>
      </c>
      <c r="I16" s="3"/>
      <c r="J16" s="593">
        <f>SUM(J14:J15)</f>
        <v>86003.96000000005</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3577572.27</v>
      </c>
      <c r="C18" s="596">
        <f>+D18/B18</f>
        <v>0.23109858518665233</v>
      </c>
      <c r="D18" s="595">
        <f>+D12+D16</f>
        <v>826771.89000000013</v>
      </c>
      <c r="E18" s="3"/>
      <c r="F18" s="595">
        <f>+F12+F16</f>
        <v>0</v>
      </c>
      <c r="G18" s="596" t="e">
        <f>+H18/F18</f>
        <v>#DIV/0!</v>
      </c>
      <c r="H18" s="595">
        <f>+H12+H16</f>
        <v>0</v>
      </c>
      <c r="I18" s="3"/>
      <c r="J18" s="595">
        <f>+J12+J16</f>
        <v>826771.89000000013</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3577572.27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r:id="rId1"/>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Z573"/>
  <sheetViews>
    <sheetView topLeftCell="A471" zoomScale="80" zoomScaleNormal="80" workbookViewId="0">
      <selection sqref="A1:K493"/>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16" t="s">
        <v>251</v>
      </c>
      <c r="B1" s="1216" t="s">
        <v>709</v>
      </c>
      <c r="C1" s="1217" t="s">
        <v>713</v>
      </c>
      <c r="D1" s="1217" t="s">
        <v>714</v>
      </c>
      <c r="E1" s="1217" t="s">
        <v>715</v>
      </c>
      <c r="F1" s="1216" t="s">
        <v>710</v>
      </c>
      <c r="G1" s="1216" t="s">
        <v>711</v>
      </c>
      <c r="H1" s="1216" t="s">
        <v>712</v>
      </c>
      <c r="I1" s="1217" t="s">
        <v>3412</v>
      </c>
      <c r="J1" s="1217" t="s">
        <v>3413</v>
      </c>
      <c r="K1" s="1217"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customHeight="1">
      <c r="A2" s="1218" t="s">
        <v>720</v>
      </c>
      <c r="B2" s="1218" t="s">
        <v>1438</v>
      </c>
      <c r="C2" s="1219"/>
      <c r="D2" s="1219"/>
      <c r="E2" s="1219"/>
      <c r="F2" s="1218" t="s">
        <v>2</v>
      </c>
      <c r="G2" s="1218" t="s">
        <v>3322</v>
      </c>
      <c r="H2" s="1218" t="s">
        <v>3950</v>
      </c>
      <c r="I2" s="1220">
        <v>-3669.18</v>
      </c>
      <c r="J2" s="1220">
        <v>0</v>
      </c>
      <c r="K2" s="1220">
        <v>-3669.18</v>
      </c>
      <c r="L2" s="653" t="str">
        <f>TEXT(B2,0)</f>
        <v>10</v>
      </c>
      <c r="M2" s="654" t="str">
        <f t="shared" ref="M2:M179" si="0">+A2</f>
        <v>PROFIT/PERTES JANVIER</v>
      </c>
      <c r="N2" s="655">
        <f>+IF(OR($Q2=Parametres!$G$2,$Q2=Parametres!$G$3),I2,C2)</f>
        <v>-3669.18</v>
      </c>
      <c r="O2" s="655">
        <f>+IF(OR($Q2=Parametres!$G$2,$Q2=Parametres!$G$3),J2,D2)</f>
        <v>0</v>
      </c>
      <c r="P2" s="655">
        <f>+IF(OR($Q2=Parametres!$G$2,$Q2=Parametres!$G$3),K2,E2)</f>
        <v>-3669.18</v>
      </c>
      <c r="Q2" s="654" t="str">
        <f t="shared" ref="Q2:S2" si="1">+F2</f>
        <v>1-Mémo</v>
      </c>
      <c r="R2" s="653" t="str">
        <f t="shared" si="1"/>
        <v>1</v>
      </c>
      <c r="S2" s="654" t="str">
        <f t="shared" si="1"/>
        <v>_</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customHeight="1">
      <c r="A3" s="1218" t="s">
        <v>721</v>
      </c>
      <c r="B3" s="1218" t="s">
        <v>1638</v>
      </c>
      <c r="C3" s="1219"/>
      <c r="D3" s="1219"/>
      <c r="E3" s="1219"/>
      <c r="F3" s="1218" t="s">
        <v>2</v>
      </c>
      <c r="G3" s="1218" t="s">
        <v>3322</v>
      </c>
      <c r="H3" s="1218" t="s">
        <v>3950</v>
      </c>
      <c r="I3" s="1220">
        <v>-795.17</v>
      </c>
      <c r="J3" s="1220">
        <v>0</v>
      </c>
      <c r="K3" s="1220">
        <v>-795.17</v>
      </c>
      <c r="L3" s="653" t="str">
        <f t="shared" ref="L3:L66" si="2">TEXT(B3,0)</f>
        <v>20</v>
      </c>
      <c r="M3" s="654" t="str">
        <f t="shared" si="0"/>
        <v>PROFIT/PERTES FEVRIER</v>
      </c>
      <c r="N3" s="655">
        <f>+IF(OR($Q3=Parametres!$G$2,$Q3=Parametres!$G$3),I3,C3)</f>
        <v>-795.17</v>
      </c>
      <c r="O3" s="655">
        <f>+IF(OR($Q3=Parametres!$G$2,$Q3=Parametres!$G$3),J3,D3)</f>
        <v>0</v>
      </c>
      <c r="P3" s="655">
        <f>+IF(OR($Q3=Parametres!$G$2,$Q3=Parametres!$G$3),K3,E3)</f>
        <v>-795.17</v>
      </c>
      <c r="Q3" s="654" t="str">
        <f t="shared" ref="Q3:S3" si="3">+F3</f>
        <v>1-Mémo</v>
      </c>
      <c r="R3" s="653" t="str">
        <f t="shared" si="3"/>
        <v>1</v>
      </c>
      <c r="S3" s="654" t="str">
        <f t="shared" si="3"/>
        <v>_</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customHeight="1">
      <c r="A4" s="1218" t="s">
        <v>722</v>
      </c>
      <c r="B4" s="1218" t="s">
        <v>748</v>
      </c>
      <c r="C4" s="1219"/>
      <c r="D4" s="1219"/>
      <c r="E4" s="1219"/>
      <c r="F4" s="1218" t="s">
        <v>2</v>
      </c>
      <c r="G4" s="1218" t="s">
        <v>3322</v>
      </c>
      <c r="H4" s="1218" t="s">
        <v>3950</v>
      </c>
      <c r="I4" s="1220">
        <v>80421.77</v>
      </c>
      <c r="J4" s="1220">
        <v>0</v>
      </c>
      <c r="K4" s="1220">
        <v>80421.77</v>
      </c>
      <c r="L4" s="653" t="str">
        <f t="shared" si="2"/>
        <v>30</v>
      </c>
      <c r="M4" s="654" t="str">
        <f t="shared" si="0"/>
        <v>PROFIT/PERTES MARS</v>
      </c>
      <c r="N4" s="655">
        <f>+IF(OR($Q4=Parametres!$G$2,$Q4=Parametres!$G$3),I4,C4)</f>
        <v>80421.77</v>
      </c>
      <c r="O4" s="655">
        <f>+IF(OR($Q4=Parametres!$G$2,$Q4=Parametres!$G$3),J4,D4)</f>
        <v>0</v>
      </c>
      <c r="P4" s="655">
        <f>+IF(OR($Q4=Parametres!$G$2,$Q4=Parametres!$G$3),K4,E4)</f>
        <v>80421.77</v>
      </c>
      <c r="Q4" s="654" t="str">
        <f t="shared" ref="Q4:S4" si="4">+F4</f>
        <v>1-Mémo</v>
      </c>
      <c r="R4" s="653" t="str">
        <f t="shared" si="4"/>
        <v>1</v>
      </c>
      <c r="S4" s="654" t="str">
        <f t="shared" si="4"/>
        <v>_</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customHeight="1">
      <c r="A5" s="1218" t="s">
        <v>723</v>
      </c>
      <c r="B5" s="1218" t="s">
        <v>761</v>
      </c>
      <c r="C5" s="1219"/>
      <c r="D5" s="1219"/>
      <c r="E5" s="1219"/>
      <c r="F5" s="1218" t="s">
        <v>2</v>
      </c>
      <c r="G5" s="1218" t="s">
        <v>3322</v>
      </c>
      <c r="H5" s="1218" t="s">
        <v>3950</v>
      </c>
      <c r="I5" s="1220">
        <v>113419.51</v>
      </c>
      <c r="J5" s="1220">
        <v>0</v>
      </c>
      <c r="K5" s="1220">
        <v>113419.51</v>
      </c>
      <c r="L5" s="653" t="str">
        <f t="shared" si="2"/>
        <v>40</v>
      </c>
      <c r="M5" s="654" t="str">
        <f t="shared" si="0"/>
        <v>PROFIT/PERTES AVRIL</v>
      </c>
      <c r="N5" s="655">
        <f>+IF(OR($Q5=Parametres!$G$2,$Q5=Parametres!$G$3),I5,C5)</f>
        <v>113419.51</v>
      </c>
      <c r="O5" s="655">
        <f>+IF(OR($Q5=Parametres!$G$2,$Q5=Parametres!$G$3),J5,D5)</f>
        <v>0</v>
      </c>
      <c r="P5" s="655">
        <f>+IF(OR($Q5=Parametres!$G$2,$Q5=Parametres!$G$3),K5,E5)</f>
        <v>113419.51</v>
      </c>
      <c r="Q5" s="654" t="str">
        <f t="shared" ref="Q5:S5" si="5">+F5</f>
        <v>1-Mémo</v>
      </c>
      <c r="R5" s="653" t="str">
        <f t="shared" si="5"/>
        <v>1</v>
      </c>
      <c r="S5" s="654" t="str">
        <f t="shared" si="5"/>
        <v>_</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customHeight="1">
      <c r="A6" s="1218" t="s">
        <v>724</v>
      </c>
      <c r="B6" s="1218" t="s">
        <v>785</v>
      </c>
      <c r="C6" s="1219"/>
      <c r="D6" s="1219"/>
      <c r="E6" s="1219"/>
      <c r="F6" s="1218" t="s">
        <v>2</v>
      </c>
      <c r="G6" s="1218" t="s">
        <v>3322</v>
      </c>
      <c r="H6" s="1218" t="s">
        <v>3950</v>
      </c>
      <c r="I6" s="1220">
        <v>105814.55</v>
      </c>
      <c r="J6" s="1220">
        <v>0</v>
      </c>
      <c r="K6" s="1220">
        <v>105814.55</v>
      </c>
      <c r="L6" s="653" t="str">
        <f t="shared" si="2"/>
        <v>50</v>
      </c>
      <c r="M6" s="654" t="str">
        <f t="shared" si="0"/>
        <v>PROFIT/PERTES MAI</v>
      </c>
      <c r="N6" s="655">
        <f>+IF(OR($Q6=Parametres!$G$2,$Q6=Parametres!$G$3),I6,C6)</f>
        <v>105814.55</v>
      </c>
      <c r="O6" s="655">
        <f>+IF(OR($Q6=Parametres!$G$2,$Q6=Parametres!$G$3),J6,D6)</f>
        <v>0</v>
      </c>
      <c r="P6" s="655">
        <f>+IF(OR($Q6=Parametres!$G$2,$Q6=Parametres!$G$3),K6,E6)</f>
        <v>105814.55</v>
      </c>
      <c r="Q6" s="654" t="str">
        <f t="shared" ref="Q6:S6" si="6">+F6</f>
        <v>1-Mémo</v>
      </c>
      <c r="R6" s="653" t="str">
        <f t="shared" si="6"/>
        <v>1</v>
      </c>
      <c r="S6" s="654" t="str">
        <f t="shared" si="6"/>
        <v>_</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customHeight="1">
      <c r="A7" s="1218" t="s">
        <v>725</v>
      </c>
      <c r="B7" s="1218" t="s">
        <v>2240</v>
      </c>
      <c r="C7" s="1219"/>
      <c r="D7" s="1219"/>
      <c r="E7" s="1219"/>
      <c r="F7" s="1218" t="s">
        <v>2</v>
      </c>
      <c r="G7" s="1218" t="s">
        <v>3322</v>
      </c>
      <c r="H7" s="1218" t="s">
        <v>3950</v>
      </c>
      <c r="I7" s="1220">
        <v>138213.39000000001</v>
      </c>
      <c r="J7" s="1220">
        <v>0</v>
      </c>
      <c r="K7" s="1220">
        <v>138213.39000000001</v>
      </c>
      <c r="L7" s="653" t="str">
        <f t="shared" si="2"/>
        <v>60</v>
      </c>
      <c r="M7" s="654" t="str">
        <f t="shared" si="0"/>
        <v>PROFIT/PERTES JUIN</v>
      </c>
      <c r="N7" s="655">
        <f>+IF(OR($Q7=Parametres!$G$2,$Q7=Parametres!$G$3),I7,C7)</f>
        <v>138213.39000000001</v>
      </c>
      <c r="O7" s="655">
        <f>+IF(OR($Q7=Parametres!$G$2,$Q7=Parametres!$G$3),J7,D7)</f>
        <v>0</v>
      </c>
      <c r="P7" s="655">
        <f>+IF(OR($Q7=Parametres!$G$2,$Q7=Parametres!$G$3),K7,E7)</f>
        <v>138213.39000000001</v>
      </c>
      <c r="Q7" s="654" t="str">
        <f t="shared" ref="Q7:S7" si="7">+F7</f>
        <v>1-Mémo</v>
      </c>
      <c r="R7" s="653" t="str">
        <f t="shared" si="7"/>
        <v>1</v>
      </c>
      <c r="S7" s="654" t="str">
        <f t="shared" si="7"/>
        <v>_</v>
      </c>
      <c r="T7" s="656" t="str">
        <f>+VLOOKUP($L7,Data_Validation!$A:$D,1,0)</f>
        <v>60</v>
      </c>
      <c r="U7" s="656">
        <f>+VLOOKUP($L7,Data_Validation!$A:$D,3,0)</f>
        <v>0</v>
      </c>
      <c r="V7" s="656">
        <f>+VLOOKUP($L7,Data_Validation!$A:$D,4,0)</f>
        <v>0</v>
      </c>
      <c r="W7" s="656">
        <f>+VLOOKUP($L7,Data_Validation!$A:$E,5,0)</f>
        <v>0</v>
      </c>
      <c r="X7" s="656">
        <f>+VLOOKUP($L7,Data_Validation!$A:$F,6,0)</f>
        <v>0</v>
      </c>
    </row>
    <row r="8" spans="1:26" ht="15" customHeight="1">
      <c r="A8" s="1218" t="s">
        <v>732</v>
      </c>
      <c r="B8" s="1218" t="s">
        <v>1674</v>
      </c>
      <c r="C8" s="1219"/>
      <c r="D8" s="1219"/>
      <c r="E8" s="1219"/>
      <c r="F8" s="1218" t="s">
        <v>2</v>
      </c>
      <c r="G8" s="1218" t="s">
        <v>3323</v>
      </c>
      <c r="H8" s="1218" t="s">
        <v>3950</v>
      </c>
      <c r="I8" s="1220">
        <v>0.49</v>
      </c>
      <c r="J8" s="1220">
        <v>0</v>
      </c>
      <c r="K8" s="1220">
        <v>0.49</v>
      </c>
      <c r="L8" s="653" t="str">
        <f t="shared" si="2"/>
        <v>229</v>
      </c>
      <c r="M8" s="654" t="str">
        <f t="shared" si="0"/>
        <v>CUMUL. VIS. CARR. VW</v>
      </c>
      <c r="N8" s="655">
        <f>+IF(OR($Q8=Parametres!$G$2,$Q8=Parametres!$G$3),I8,C8)</f>
        <v>0.49</v>
      </c>
      <c r="O8" s="655">
        <f>+IF(OR($Q8=Parametres!$G$2,$Q8=Parametres!$G$3),J8,D8)</f>
        <v>0</v>
      </c>
      <c r="P8" s="655">
        <f>+IF(OR($Q8=Parametres!$G$2,$Q8=Parametres!$G$3),K8,E8)</f>
        <v>0.49</v>
      </c>
      <c r="Q8" s="654" t="str">
        <f t="shared" ref="Q8:S8" si="8">+F8</f>
        <v>1-Mémo</v>
      </c>
      <c r="R8" s="653" t="str">
        <f t="shared" si="8"/>
        <v>23</v>
      </c>
      <c r="S8" s="654" t="str">
        <f t="shared" si="8"/>
        <v>_</v>
      </c>
      <c r="T8" s="656" t="str">
        <f>+VLOOKUP($L8,Data_Validation!$A:$D,1,0)</f>
        <v>229</v>
      </c>
      <c r="U8" s="656">
        <f>+VLOOKUP($L8,Data_Validation!$A:$D,3,0)</f>
        <v>0</v>
      </c>
      <c r="V8" s="656">
        <f>+VLOOKUP($L8,Data_Validation!$A:$D,4,0)</f>
        <v>0</v>
      </c>
      <c r="W8" s="656">
        <f>+VLOOKUP($L8,Data_Validation!$A:$E,5,0)</f>
        <v>0</v>
      </c>
      <c r="X8" s="656">
        <f>+VLOOKUP($L8,Data_Validation!$A:$F,6,0)</f>
        <v>0</v>
      </c>
    </row>
    <row r="9" spans="1:26" ht="15" customHeight="1">
      <c r="A9" s="1218" t="s">
        <v>733</v>
      </c>
      <c r="B9" s="1218" t="s">
        <v>1690</v>
      </c>
      <c r="C9" s="1219"/>
      <c r="D9" s="1219"/>
      <c r="E9" s="1219"/>
      <c r="F9" s="1218" t="s">
        <v>2</v>
      </c>
      <c r="G9" s="1218" t="s">
        <v>3323</v>
      </c>
      <c r="H9" s="1218" t="s">
        <v>3950</v>
      </c>
      <c r="I9" s="1220">
        <v>54.94</v>
      </c>
      <c r="J9" s="1220">
        <v>0</v>
      </c>
      <c r="K9" s="1220">
        <v>54.94</v>
      </c>
      <c r="L9" s="653" t="str">
        <f t="shared" si="2"/>
        <v>230</v>
      </c>
      <c r="M9" s="654" t="str">
        <f t="shared" si="0"/>
        <v>CUMUL. VIS. VEH. SERV. VW</v>
      </c>
      <c r="N9" s="655">
        <f>+IF(OR($Q9=Parametres!$G$2,$Q9=Parametres!$G$3),I9,C9)</f>
        <v>54.94</v>
      </c>
      <c r="O9" s="659">
        <f>+IF(OR($Q9=Parametres!$G$2,$Q9=Parametres!$G$3),J9,D9)</f>
        <v>0</v>
      </c>
      <c r="P9" s="655">
        <f>+IF(OR($Q9=Parametres!$G$2,$Q9=Parametres!$G$3),K9,E9)</f>
        <v>54.94</v>
      </c>
      <c r="Q9" s="654" t="str">
        <f t="shared" ref="Q9:S9" si="9">+F9</f>
        <v>1-Mémo</v>
      </c>
      <c r="R9" s="653" t="str">
        <f t="shared" si="9"/>
        <v>23</v>
      </c>
      <c r="S9" s="654" t="str">
        <f t="shared" si="9"/>
        <v>_</v>
      </c>
      <c r="T9" s="656" t="str">
        <f>+VLOOKUP($L9,Data_Validation!$A:$D,1,0)</f>
        <v>230</v>
      </c>
      <c r="U9" s="656">
        <f>+VLOOKUP($L9,Data_Validation!$A:$D,3,0)</f>
        <v>0</v>
      </c>
      <c r="V9" s="656">
        <f>+VLOOKUP($L9,Data_Validation!$A:$D,4,0)</f>
        <v>0</v>
      </c>
      <c r="W9" s="656" t="str">
        <f>+VLOOKUP($L9,Data_Validation!$A:$E,5,0)</f>
        <v>$</v>
      </c>
      <c r="X9" s="656">
        <f>+VLOOKUP($L9,Data_Validation!$A:$F,6,0)</f>
        <v>0</v>
      </c>
    </row>
    <row r="10" spans="1:26" ht="15" customHeight="1">
      <c r="A10" s="1218" t="s">
        <v>734</v>
      </c>
      <c r="B10" s="1218" t="s">
        <v>1698</v>
      </c>
      <c r="C10" s="1219"/>
      <c r="D10" s="1219"/>
      <c r="E10" s="1219"/>
      <c r="F10" s="1218" t="s">
        <v>2</v>
      </c>
      <c r="G10" s="1218" t="s">
        <v>3323</v>
      </c>
      <c r="H10" s="1218" t="s">
        <v>3950</v>
      </c>
      <c r="I10" s="1220">
        <v>131.38</v>
      </c>
      <c r="J10" s="1220">
        <v>0</v>
      </c>
      <c r="K10" s="1220">
        <v>131.38</v>
      </c>
      <c r="L10" s="653" t="str">
        <f t="shared" si="2"/>
        <v>234</v>
      </c>
      <c r="M10" s="654" t="str">
        <f t="shared" si="0"/>
        <v>TOTAL HRES PROD. SERVICE</v>
      </c>
      <c r="N10" s="655">
        <f>+IF(OR($Q10=Parametres!$G$2,$Q10=Parametres!$G$3),I10,C10)</f>
        <v>131.38</v>
      </c>
      <c r="O10" s="659">
        <f>+IF(OR($Q10=Parametres!$G$2,$Q10=Parametres!$G$3),J10,D10)</f>
        <v>0</v>
      </c>
      <c r="P10" s="655">
        <f>+IF(OR($Q10=Parametres!$G$2,$Q10=Parametres!$G$3),K10,E10)</f>
        <v>131.38</v>
      </c>
      <c r="Q10" s="654" t="str">
        <f t="shared" ref="Q10:S10" si="10">+F10</f>
        <v>1-Mémo</v>
      </c>
      <c r="R10" s="653" t="str">
        <f t="shared" si="10"/>
        <v>23</v>
      </c>
      <c r="S10" s="654" t="str">
        <f t="shared" si="10"/>
        <v>_</v>
      </c>
      <c r="T10" s="656" t="str">
        <f>+VLOOKUP($L10,Data_Validation!$A:$D,1,0)</f>
        <v>234</v>
      </c>
      <c r="U10" s="656">
        <f>+VLOOKUP($L10,Data_Validation!$A:$D,3,0)</f>
        <v>0</v>
      </c>
      <c r="V10" s="656">
        <f>+VLOOKUP($L10,Data_Validation!$A:$D,4,0)</f>
        <v>0</v>
      </c>
      <c r="W10" s="656">
        <f>+VLOOKUP($L10,Data_Validation!$A:$E,5,0)</f>
        <v>0</v>
      </c>
      <c r="X10" s="656">
        <f>+VLOOKUP($L10,Data_Validation!$A:$F,6,0)</f>
        <v>0</v>
      </c>
    </row>
    <row r="11" spans="1:26" ht="15" customHeight="1">
      <c r="A11" s="1218" t="s">
        <v>735</v>
      </c>
      <c r="B11" s="1218" t="s">
        <v>1710</v>
      </c>
      <c r="C11" s="1219"/>
      <c r="D11" s="1219"/>
      <c r="E11" s="1219"/>
      <c r="F11" s="1218" t="s">
        <v>2</v>
      </c>
      <c r="G11" s="1218" t="s">
        <v>3323</v>
      </c>
      <c r="H11" s="1218" t="s">
        <v>3950</v>
      </c>
      <c r="I11" s="1220">
        <v>133.24</v>
      </c>
      <c r="J11" s="1220">
        <v>0</v>
      </c>
      <c r="K11" s="1220">
        <v>133.24</v>
      </c>
      <c r="L11" s="653" t="str">
        <f t="shared" si="2"/>
        <v>236</v>
      </c>
      <c r="M11" s="654" t="str">
        <f t="shared" si="0"/>
        <v>HEURES VENDU VW - SERVICE</v>
      </c>
      <c r="N11" s="655">
        <f>+IF(OR($Q11=Parametres!$G$2,$Q11=Parametres!$G$3),I11,C11)</f>
        <v>133.24</v>
      </c>
      <c r="O11" s="659">
        <f>+IF(OR($Q11=Parametres!$G$2,$Q11=Parametres!$G$3),J11,D11)</f>
        <v>0</v>
      </c>
      <c r="P11" s="655">
        <f>+IF(OR($Q11=Parametres!$G$2,$Q11=Parametres!$G$3),K11,E11)</f>
        <v>133.24</v>
      </c>
      <c r="Q11" s="654" t="str">
        <f t="shared" ref="Q11:S11" si="11">+F11</f>
        <v>1-Mémo</v>
      </c>
      <c r="R11" s="653" t="str">
        <f t="shared" si="11"/>
        <v>23</v>
      </c>
      <c r="S11" s="654" t="str">
        <f t="shared" si="11"/>
        <v>_</v>
      </c>
      <c r="T11" s="656" t="str">
        <f>+VLOOKUP($L11,Data_Validation!$A:$D,1,0)</f>
        <v>236</v>
      </c>
      <c r="U11" s="656">
        <f>+VLOOKUP($L11,Data_Validation!$A:$D,3,0)</f>
        <v>0</v>
      </c>
      <c r="V11" s="656">
        <f>+VLOOKUP($L11,Data_Validation!$A:$D,4,0)</f>
        <v>0</v>
      </c>
      <c r="W11" s="656">
        <f>+VLOOKUP($L11,Data_Validation!$A:$E,5,0)</f>
        <v>0</v>
      </c>
      <c r="X11" s="656">
        <f>+VLOOKUP($L11,Data_Validation!$A:$F,6,0)</f>
        <v>0</v>
      </c>
    </row>
    <row r="12" spans="1:26" ht="15" customHeight="1">
      <c r="A12" s="1218" t="s">
        <v>736</v>
      </c>
      <c r="B12" s="1218" t="s">
        <v>1713</v>
      </c>
      <c r="C12" s="1219"/>
      <c r="D12" s="1219"/>
      <c r="E12" s="1219"/>
      <c r="F12" s="1218" t="s">
        <v>2</v>
      </c>
      <c r="G12" s="1218" t="s">
        <v>3323</v>
      </c>
      <c r="H12" s="1218" t="s">
        <v>3950</v>
      </c>
      <c r="I12" s="1220">
        <v>146.93</v>
      </c>
      <c r="J12" s="1220">
        <v>0</v>
      </c>
      <c r="K12" s="1220">
        <v>146.93</v>
      </c>
      <c r="L12" s="653" t="str">
        <f t="shared" si="2"/>
        <v>238</v>
      </c>
      <c r="M12" s="654" t="str">
        <f t="shared" si="0"/>
        <v>TOT. HEURES DISP. SERVICE</v>
      </c>
      <c r="N12" s="655">
        <f>+IF(OR($Q12=Parametres!$G$2,$Q12=Parametres!$G$3),I12,C12)</f>
        <v>146.93</v>
      </c>
      <c r="O12" s="655">
        <f>+IF(OR($Q12=Parametres!$G$2,$Q12=Parametres!$G$3),J12,D12)</f>
        <v>0</v>
      </c>
      <c r="P12" s="655">
        <f>+IF(OR($Q12=Parametres!$G$2,$Q12=Parametres!$G$3),K12,E12)</f>
        <v>146.93</v>
      </c>
      <c r="Q12" s="654" t="str">
        <f t="shared" ref="Q12:S12" si="12">+F12</f>
        <v>1-Mémo</v>
      </c>
      <c r="R12" s="653" t="str">
        <f t="shared" si="12"/>
        <v>23</v>
      </c>
      <c r="S12" s="654" t="str">
        <f t="shared" si="12"/>
        <v>_</v>
      </c>
      <c r="T12" s="656" t="str">
        <f>+VLOOKUP($L12,Data_Validation!$A:$D,1,0)</f>
        <v>238</v>
      </c>
      <c r="U12" s="656">
        <f>+VLOOKUP($L12,Data_Validation!$A:$D,3,0)</f>
        <v>0</v>
      </c>
      <c r="V12" s="656">
        <f>+VLOOKUP($L12,Data_Validation!$A:$D,4,0)</f>
        <v>0</v>
      </c>
      <c r="W12" s="656">
        <f>+VLOOKUP($L12,Data_Validation!$A:$E,5,0)</f>
        <v>0</v>
      </c>
      <c r="X12" s="656">
        <f>+VLOOKUP($L12,Data_Validation!$A:$F,6,0)</f>
        <v>0</v>
      </c>
    </row>
    <row r="13" spans="1:26" ht="15" customHeight="1">
      <c r="A13" s="1218" t="s">
        <v>3658</v>
      </c>
      <c r="B13" s="1218" t="s">
        <v>1718</v>
      </c>
      <c r="C13" s="1219"/>
      <c r="D13" s="1219"/>
      <c r="E13" s="1219"/>
      <c r="F13" s="1218" t="s">
        <v>2</v>
      </c>
      <c r="G13" s="1218" t="s">
        <v>3324</v>
      </c>
      <c r="H13" s="1218" t="s">
        <v>3950</v>
      </c>
      <c r="I13" s="1220">
        <v>154.94999999999999</v>
      </c>
      <c r="J13" s="1220">
        <v>0</v>
      </c>
      <c r="K13" s="1220">
        <v>154.94999999999999</v>
      </c>
      <c r="L13" s="653" t="str">
        <f t="shared" si="2"/>
        <v>243</v>
      </c>
      <c r="M13" s="654" t="str">
        <f t="shared" si="0"/>
        <v>TAUX MAIN D'OEUVRE - VW - MCI - CLIENT</v>
      </c>
      <c r="N13" s="655">
        <f>+IF(OR($Q13=Parametres!$G$2,$Q13=Parametres!$G$3),I13,C13)</f>
        <v>154.94999999999999</v>
      </c>
      <c r="O13" s="655">
        <f>+IF(OR($Q13=Parametres!$G$2,$Q13=Parametres!$G$3),J13,D13)</f>
        <v>0</v>
      </c>
      <c r="P13" s="655">
        <f>+IF(OR($Q13=Parametres!$G$2,$Q13=Parametres!$G$3),K13,E13)</f>
        <v>154.94999999999999</v>
      </c>
      <c r="Q13" s="654" t="str">
        <f t="shared" ref="Q13:S13" si="13">+F13</f>
        <v>1-Mémo</v>
      </c>
      <c r="R13" s="653" t="str">
        <f t="shared" si="13"/>
        <v>24</v>
      </c>
      <c r="S13" s="654" t="str">
        <f t="shared" si="13"/>
        <v>_</v>
      </c>
      <c r="T13" s="656" t="str">
        <f>+VLOOKUP($L13,Data_Validation!$A:$D,1,0)</f>
        <v>243</v>
      </c>
      <c r="U13" s="656">
        <f>+VLOOKUP($L13,Data_Validation!$A:$D,3,0)</f>
        <v>0</v>
      </c>
      <c r="V13" s="656">
        <f>+VLOOKUP($L13,Data_Validation!$A:$D,4,0)</f>
        <v>0</v>
      </c>
      <c r="W13" s="656">
        <f>+VLOOKUP($L13,Data_Validation!$A:$E,5,0)</f>
        <v>0</v>
      </c>
      <c r="X13" s="656">
        <f>+VLOOKUP($L13,Data_Validation!$A:$F,6,0)</f>
        <v>0</v>
      </c>
    </row>
    <row r="14" spans="1:26" ht="15" customHeight="1">
      <c r="A14" s="1218" t="s">
        <v>3659</v>
      </c>
      <c r="B14" s="1218" t="s">
        <v>1721</v>
      </c>
      <c r="C14" s="1219"/>
      <c r="D14" s="1219"/>
      <c r="E14" s="1219"/>
      <c r="F14" s="1218" t="s">
        <v>2</v>
      </c>
      <c r="G14" s="1218" t="s">
        <v>3324</v>
      </c>
      <c r="H14" s="1218" t="s">
        <v>3950</v>
      </c>
      <c r="I14" s="1220">
        <v>142.97</v>
      </c>
      <c r="J14" s="1220">
        <v>0</v>
      </c>
      <c r="K14" s="1220">
        <v>142.97</v>
      </c>
      <c r="L14" s="653" t="str">
        <f t="shared" si="2"/>
        <v>244</v>
      </c>
      <c r="M14" s="654" t="str">
        <f t="shared" si="0"/>
        <v>TAUX MAIN D'OEUVRE - VW - MCI - GARANTIE</v>
      </c>
      <c r="N14" s="655">
        <f>+IF(OR($Q14=Parametres!$G$2,$Q14=Parametres!$G$3),I14,C14)</f>
        <v>142.97</v>
      </c>
      <c r="O14" s="655">
        <f>+IF(OR($Q14=Parametres!$G$2,$Q14=Parametres!$G$3),J14,D14)</f>
        <v>0</v>
      </c>
      <c r="P14" s="655">
        <f>+IF(OR($Q14=Parametres!$G$2,$Q14=Parametres!$G$3),K14,E14)</f>
        <v>142.97</v>
      </c>
      <c r="Q14" s="654" t="str">
        <f t="shared" ref="Q14:S14" si="14">+F14</f>
        <v>1-Mémo</v>
      </c>
      <c r="R14" s="653" t="str">
        <f t="shared" si="14"/>
        <v>24</v>
      </c>
      <c r="S14" s="654" t="str">
        <f t="shared" si="14"/>
        <v>_</v>
      </c>
      <c r="T14" s="656" t="str">
        <f>+VLOOKUP($L14,Data_Validation!$A:$D,1,0)</f>
        <v>244</v>
      </c>
      <c r="U14" s="656">
        <f>+VLOOKUP($L14,Data_Validation!$A:$D,3,0)</f>
        <v>0</v>
      </c>
      <c r="V14" s="656">
        <f>+VLOOKUP($L14,Data_Validation!$A:$D,4,0)</f>
        <v>0</v>
      </c>
      <c r="W14" s="656">
        <f>+VLOOKUP($L14,Data_Validation!$A:$E,5,0)</f>
        <v>0</v>
      </c>
      <c r="X14" s="656">
        <f>+VLOOKUP($L14,Data_Validation!$A:$F,6,0)</f>
        <v>0</v>
      </c>
    </row>
    <row r="15" spans="1:26" ht="15" customHeight="1">
      <c r="A15" s="1218" t="s">
        <v>3660</v>
      </c>
      <c r="B15" s="1218" t="s">
        <v>1724</v>
      </c>
      <c r="C15" s="1219"/>
      <c r="D15" s="1219"/>
      <c r="E15" s="1219"/>
      <c r="F15" s="1218" t="s">
        <v>2</v>
      </c>
      <c r="G15" s="1218" t="s">
        <v>3324</v>
      </c>
      <c r="H15" s="1218" t="s">
        <v>3950</v>
      </c>
      <c r="I15" s="1220">
        <v>154.94999999999999</v>
      </c>
      <c r="J15" s="1220">
        <v>0</v>
      </c>
      <c r="K15" s="1220">
        <v>154.94999999999999</v>
      </c>
      <c r="L15" s="653" t="str">
        <f t="shared" si="2"/>
        <v>245</v>
      </c>
      <c r="M15" s="654" t="str">
        <f t="shared" si="0"/>
        <v>TAUX MAIN D'OEUVRE - VW - MCI - INTERNE</v>
      </c>
      <c r="N15" s="655">
        <f>+IF(OR($Q15=Parametres!$G$2,$Q15=Parametres!$G$3),I15,C15)</f>
        <v>154.94999999999999</v>
      </c>
      <c r="O15" s="655">
        <f>+IF(OR($Q15=Parametres!$G$2,$Q15=Parametres!$G$3),J15,D15)</f>
        <v>0</v>
      </c>
      <c r="P15" s="655">
        <f>+IF(OR($Q15=Parametres!$G$2,$Q15=Parametres!$G$3),K15,E15)</f>
        <v>154.94999999999999</v>
      </c>
      <c r="Q15" s="654" t="str">
        <f t="shared" ref="Q15:S15" si="15">+F15</f>
        <v>1-Mémo</v>
      </c>
      <c r="R15" s="653" t="str">
        <f t="shared" si="15"/>
        <v>24</v>
      </c>
      <c r="S15" s="654" t="str">
        <f t="shared" si="15"/>
        <v>_</v>
      </c>
      <c r="T15" s="656" t="str">
        <f>+VLOOKUP($L15,Data_Validation!$A:$D,1,0)</f>
        <v>245</v>
      </c>
      <c r="U15" s="656">
        <f>+VLOOKUP($L15,Data_Validation!$A:$D,3,0)</f>
        <v>0</v>
      </c>
      <c r="V15" s="656">
        <f>+VLOOKUP($L15,Data_Validation!$A:$D,4,0)</f>
        <v>0</v>
      </c>
      <c r="W15" s="656">
        <f>+VLOOKUP($L15,Data_Validation!$A:$E,5,0)</f>
        <v>0</v>
      </c>
      <c r="X15" s="656">
        <f>+VLOOKUP($L15,Data_Validation!$A:$F,6,0)</f>
        <v>0</v>
      </c>
    </row>
    <row r="16" spans="1:26" ht="15" customHeight="1">
      <c r="A16" s="1218" t="s">
        <v>3661</v>
      </c>
      <c r="B16" s="1218" t="s">
        <v>1727</v>
      </c>
      <c r="C16" s="1219"/>
      <c r="D16" s="1219"/>
      <c r="E16" s="1219"/>
      <c r="F16" s="1218" t="s">
        <v>2</v>
      </c>
      <c r="G16" s="1218" t="s">
        <v>3324</v>
      </c>
      <c r="H16" s="1218" t="s">
        <v>3950</v>
      </c>
      <c r="I16" s="1220">
        <v>75</v>
      </c>
      <c r="J16" s="1220">
        <v>0</v>
      </c>
      <c r="K16" s="1220">
        <v>75</v>
      </c>
      <c r="L16" s="653" t="str">
        <f t="shared" si="2"/>
        <v>246</v>
      </c>
      <c r="M16" s="654" t="str">
        <f t="shared" si="0"/>
        <v>TAUX MAIN D'OEUVRE - VW - MCI - CARROSSERIE</v>
      </c>
      <c r="N16" s="655">
        <f>+IF(OR($Q16=Parametres!$G$2,$Q16=Parametres!$G$3),I16,C16)</f>
        <v>75</v>
      </c>
      <c r="O16" s="655">
        <f>+IF(OR($Q16=Parametres!$G$2,$Q16=Parametres!$G$3),J16,D16)</f>
        <v>0</v>
      </c>
      <c r="P16" s="655">
        <f>+IF(OR($Q16=Parametres!$G$2,$Q16=Parametres!$G$3),K16,E16)</f>
        <v>75</v>
      </c>
      <c r="Q16" s="654" t="str">
        <f t="shared" ref="Q16:S16" si="16">+F16</f>
        <v>1-Mémo</v>
      </c>
      <c r="R16" s="653" t="str">
        <f t="shared" si="16"/>
        <v>24</v>
      </c>
      <c r="S16" s="654" t="str">
        <f t="shared" si="16"/>
        <v>_</v>
      </c>
      <c r="T16" s="656" t="str">
        <f>+VLOOKUP($L16,Data_Validation!$A:$D,1,0)</f>
        <v>246</v>
      </c>
      <c r="U16" s="656">
        <f>+VLOOKUP($L16,Data_Validation!$A:$D,3,0)</f>
        <v>0</v>
      </c>
      <c r="V16" s="656">
        <f>+VLOOKUP($L16,Data_Validation!$A:$D,4,0)</f>
        <v>0</v>
      </c>
      <c r="W16" s="656">
        <f>+VLOOKUP($L16,Data_Validation!$A:$E,5,0)</f>
        <v>0</v>
      </c>
      <c r="X16" s="656">
        <f>+VLOOKUP($L16,Data_Validation!$A:$F,6,0)</f>
        <v>0</v>
      </c>
    </row>
    <row r="17" spans="1:24" ht="15" customHeight="1">
      <c r="A17" s="1218" t="s">
        <v>741</v>
      </c>
      <c r="B17" s="1218" t="s">
        <v>742</v>
      </c>
      <c r="C17" s="1219"/>
      <c r="D17" s="1219"/>
      <c r="E17" s="1219"/>
      <c r="F17" s="1218" t="s">
        <v>2</v>
      </c>
      <c r="G17" s="1218" t="s">
        <v>742</v>
      </c>
      <c r="H17" s="1218" t="s">
        <v>3950</v>
      </c>
      <c r="I17" s="1220">
        <v>0.14000000000000001</v>
      </c>
      <c r="J17" s="1220">
        <v>0</v>
      </c>
      <c r="K17" s="1220">
        <v>0.14000000000000001</v>
      </c>
      <c r="L17" s="653" t="str">
        <f t="shared" si="2"/>
        <v>255</v>
      </c>
      <c r="M17" s="654" t="str">
        <f t="shared" si="0"/>
        <v>BAIES TRAVAIL PRODUCTIVES - SERVICE VW</v>
      </c>
      <c r="N17" s="655">
        <f>+IF(OR($Q17=Parametres!$G$2,$Q17=Parametres!$G$3),I17,C17)</f>
        <v>0.14000000000000001</v>
      </c>
      <c r="O17" s="655">
        <f>+IF(OR($Q17=Parametres!$G$2,$Q17=Parametres!$G$3),J17,D17)</f>
        <v>0</v>
      </c>
      <c r="P17" s="655">
        <f>+IF(OR($Q17=Parametres!$G$2,$Q17=Parametres!$G$3),K17,E17)</f>
        <v>0.14000000000000001</v>
      </c>
      <c r="Q17" s="654" t="str">
        <f t="shared" ref="Q17:S17" si="17">+F17</f>
        <v>1-Mémo</v>
      </c>
      <c r="R17" s="653" t="str">
        <f t="shared" si="17"/>
        <v>255</v>
      </c>
      <c r="S17" s="654" t="str">
        <f t="shared" si="17"/>
        <v>_</v>
      </c>
      <c r="T17" s="656" t="str">
        <f>+VLOOKUP($L17,Data_Validation!$A:$D,1,0)</f>
        <v>255</v>
      </c>
      <c r="U17" s="656">
        <f>+VLOOKUP($L17,Data_Validation!$A:$D,3,0)</f>
        <v>0</v>
      </c>
      <c r="V17" s="656">
        <f>+VLOOKUP($L17,Data_Validation!$A:$D,4,0)</f>
        <v>0</v>
      </c>
      <c r="W17" s="656">
        <f>+VLOOKUP($L17,Data_Validation!$A:$E,5,0)</f>
        <v>0</v>
      </c>
      <c r="X17" s="656">
        <f>+VLOOKUP($L17,Data_Validation!$A:$F,6,0)</f>
        <v>0</v>
      </c>
    </row>
    <row r="18" spans="1:24" ht="15" customHeight="1">
      <c r="A18" s="1218" t="s">
        <v>3662</v>
      </c>
      <c r="B18" s="1218" t="s">
        <v>744</v>
      </c>
      <c r="C18" s="1219"/>
      <c r="D18" s="1219"/>
      <c r="E18" s="1219"/>
      <c r="F18" s="1218" t="s">
        <v>2</v>
      </c>
      <c r="G18" s="1218" t="s">
        <v>744</v>
      </c>
      <c r="H18" s="1218" t="s">
        <v>3950</v>
      </c>
      <c r="I18" s="1220">
        <v>6659.88</v>
      </c>
      <c r="J18" s="1220">
        <v>0</v>
      </c>
      <c r="K18" s="1220">
        <v>6659.88</v>
      </c>
      <c r="L18" s="653" t="str">
        <f t="shared" si="2"/>
        <v>257</v>
      </c>
      <c r="M18" s="654" t="str">
        <f t="shared" si="0"/>
        <v>HEURES VENDUES - SVC - VW - MCI - CLIENT</v>
      </c>
      <c r="N18" s="655">
        <f>+IF(OR($Q18=Parametres!$G$2,$Q18=Parametres!$G$3),I18,C18)</f>
        <v>6659.88</v>
      </c>
      <c r="O18" s="655">
        <f>+IF(OR($Q18=Parametres!$G$2,$Q18=Parametres!$G$3),J18,D18)</f>
        <v>0</v>
      </c>
      <c r="P18" s="655">
        <f>+IF(OR($Q18=Parametres!$G$2,$Q18=Parametres!$G$3),K18,E18)</f>
        <v>6659.88</v>
      </c>
      <c r="Q18" s="654" t="str">
        <f t="shared" ref="Q18:S18" si="18">+F18</f>
        <v>1-Mémo</v>
      </c>
      <c r="R18" s="653" t="str">
        <f t="shared" si="18"/>
        <v>257</v>
      </c>
      <c r="S18" s="654" t="str">
        <f t="shared" si="18"/>
        <v>_</v>
      </c>
      <c r="T18" s="656" t="str">
        <f>+VLOOKUP($L18,Data_Validation!$A:$D,1,0)</f>
        <v>257</v>
      </c>
      <c r="U18" s="656">
        <f>+VLOOKUP($L18,Data_Validation!$A:$D,3,0)</f>
        <v>0</v>
      </c>
      <c r="V18" s="656">
        <f>+VLOOKUP($L18,Data_Validation!$A:$D,4,0)</f>
        <v>0</v>
      </c>
      <c r="W18" s="656">
        <f>+VLOOKUP($L18,Data_Validation!$A:$E,5,0)</f>
        <v>0</v>
      </c>
      <c r="X18" s="656">
        <f>+VLOOKUP($L18,Data_Validation!$A:$F,6,0)</f>
        <v>0</v>
      </c>
    </row>
    <row r="19" spans="1:24" ht="15" customHeight="1">
      <c r="A19" s="1218" t="s">
        <v>3663</v>
      </c>
      <c r="B19" s="1218" t="s">
        <v>1750</v>
      </c>
      <c r="C19" s="1219"/>
      <c r="D19" s="1219"/>
      <c r="E19" s="1219"/>
      <c r="F19" s="1218" t="s">
        <v>2</v>
      </c>
      <c r="G19" s="1218" t="s">
        <v>744</v>
      </c>
      <c r="H19" s="1218" t="s">
        <v>3950</v>
      </c>
      <c r="I19" s="1220">
        <v>3328.25</v>
      </c>
      <c r="J19" s="1220">
        <v>0</v>
      </c>
      <c r="K19" s="1220">
        <v>3328.25</v>
      </c>
      <c r="L19" s="653" t="str">
        <f t="shared" si="2"/>
        <v>258</v>
      </c>
      <c r="M19" s="654" t="str">
        <f t="shared" si="0"/>
        <v>HEURES VENDUES - SVC - VW - MCI - GARANTIE</v>
      </c>
      <c r="N19" s="655">
        <f>+IF(OR($Q19=Parametres!$G$2,$Q19=Parametres!$G$3),I19,C19)</f>
        <v>3328.25</v>
      </c>
      <c r="O19" s="659">
        <f>+IF(OR($Q19=Parametres!$G$2,$Q19=Parametres!$G$3),J19,D19)</f>
        <v>0</v>
      </c>
      <c r="P19" s="655">
        <f>+IF(OR($Q19=Parametres!$G$2,$Q19=Parametres!$G$3),K19,E19)</f>
        <v>3328.25</v>
      </c>
      <c r="Q19" s="654" t="str">
        <f t="shared" ref="Q19:S19" si="19">+F19</f>
        <v>1-Mémo</v>
      </c>
      <c r="R19" s="653" t="str">
        <f t="shared" si="19"/>
        <v>257</v>
      </c>
      <c r="S19" s="654" t="str">
        <f t="shared" si="19"/>
        <v>_</v>
      </c>
      <c r="T19" s="656" t="str">
        <f>+VLOOKUP($L19,Data_Validation!$A:$D,1,0)</f>
        <v>258</v>
      </c>
      <c r="U19" s="656">
        <f>+VLOOKUP($L19,Data_Validation!$A:$D,3,0)</f>
        <v>0</v>
      </c>
      <c r="V19" s="656">
        <f>+VLOOKUP($L19,Data_Validation!$A:$D,4,0)</f>
        <v>0</v>
      </c>
      <c r="W19" s="656">
        <f>+VLOOKUP($L19,Data_Validation!$A:$E,5,0)</f>
        <v>0</v>
      </c>
      <c r="X19" s="656">
        <f>+VLOOKUP($L19,Data_Validation!$A:$F,6,0)</f>
        <v>0</v>
      </c>
    </row>
    <row r="20" spans="1:24" ht="15" customHeight="1">
      <c r="A20" s="1218" t="s">
        <v>3664</v>
      </c>
      <c r="B20" s="1218" t="s">
        <v>1753</v>
      </c>
      <c r="C20" s="1219"/>
      <c r="D20" s="1219"/>
      <c r="E20" s="1219"/>
      <c r="F20" s="1218" t="s">
        <v>2</v>
      </c>
      <c r="G20" s="1218" t="s">
        <v>744</v>
      </c>
      <c r="H20" s="1218" t="s">
        <v>3950</v>
      </c>
      <c r="I20" s="1220">
        <v>3336.47</v>
      </c>
      <c r="J20" s="1220">
        <v>0</v>
      </c>
      <c r="K20" s="1220">
        <v>3336.47</v>
      </c>
      <c r="L20" s="653" t="str">
        <f t="shared" si="2"/>
        <v>259</v>
      </c>
      <c r="M20" s="654" t="str">
        <f t="shared" si="0"/>
        <v>HEURES VENDUES - SVC - VW - MCI - INTERNE</v>
      </c>
      <c r="N20" s="655">
        <f>+IF(OR($Q20=Parametres!$G$2,$Q20=Parametres!$G$3),I20,C20)</f>
        <v>3336.47</v>
      </c>
      <c r="O20" s="655">
        <f>+IF(OR($Q20=Parametres!$G$2,$Q20=Parametres!$G$3),J20,D20)</f>
        <v>0</v>
      </c>
      <c r="P20" s="655">
        <f>+IF(OR($Q20=Parametres!$G$2,$Q20=Parametres!$G$3),K20,E20)</f>
        <v>3336.47</v>
      </c>
      <c r="Q20" s="654" t="str">
        <f t="shared" ref="Q20:S20" si="20">+F20</f>
        <v>1-Mémo</v>
      </c>
      <c r="R20" s="653" t="str">
        <f t="shared" si="20"/>
        <v>257</v>
      </c>
      <c r="S20" s="654" t="str">
        <f t="shared" si="20"/>
        <v>_</v>
      </c>
      <c r="T20" s="656" t="str">
        <f>+VLOOKUP($L20,Data_Validation!$A:$D,1,0)</f>
        <v>259</v>
      </c>
      <c r="U20" s="656">
        <f>+VLOOKUP($L20,Data_Validation!$A:$D,3,0)</f>
        <v>0</v>
      </c>
      <c r="V20" s="656">
        <f>+VLOOKUP($L20,Data_Validation!$A:$D,4,0)</f>
        <v>0</v>
      </c>
      <c r="W20" s="656">
        <f>+VLOOKUP($L20,Data_Validation!$A:$E,5,0)</f>
        <v>0</v>
      </c>
      <c r="X20" s="656">
        <f>+VLOOKUP($L20,Data_Validation!$A:$F,6,0)</f>
        <v>0</v>
      </c>
    </row>
    <row r="21" spans="1:24" ht="15" customHeight="1">
      <c r="A21" s="1218" t="s">
        <v>3940</v>
      </c>
      <c r="B21" s="1218" t="s">
        <v>3941</v>
      </c>
      <c r="C21" s="1219"/>
      <c r="D21" s="1219"/>
      <c r="E21" s="1219"/>
      <c r="F21" s="1218" t="s">
        <v>2</v>
      </c>
      <c r="G21" s="1218" t="s">
        <v>3942</v>
      </c>
      <c r="H21" s="1218" t="s">
        <v>3950</v>
      </c>
      <c r="I21" s="1220">
        <v>154.94999999999999</v>
      </c>
      <c r="J21" s="1220">
        <v>0</v>
      </c>
      <c r="K21" s="1220">
        <v>154.94999999999999</v>
      </c>
      <c r="L21" s="653" t="str">
        <f t="shared" si="2"/>
        <v>266</v>
      </c>
      <c r="M21" s="654" t="str">
        <f t="shared" si="0"/>
        <v>TAUX MAIN D'OEUVRE - CLIENT - VW - VEB</v>
      </c>
      <c r="N21" s="655">
        <f>+IF(OR($Q21=Parametres!$G$2,$Q21=Parametres!$G$3),I21,C21)</f>
        <v>154.94999999999999</v>
      </c>
      <c r="O21" s="655">
        <f>+IF(OR($Q21=Parametres!$G$2,$Q21=Parametres!$G$3),J21,D21)</f>
        <v>0</v>
      </c>
      <c r="P21" s="655">
        <f>+IF(OR($Q21=Parametres!$G$2,$Q21=Parametres!$G$3),K21,E21)</f>
        <v>154.94999999999999</v>
      </c>
      <c r="Q21" s="654" t="str">
        <f t="shared" ref="Q21:S21" si="21">+F21</f>
        <v>1-Mémo</v>
      </c>
      <c r="R21" s="653" t="str">
        <f t="shared" si="21"/>
        <v>26</v>
      </c>
      <c r="S21" s="654" t="str">
        <f t="shared" si="21"/>
        <v>_</v>
      </c>
      <c r="T21" s="656" t="e">
        <f>+VLOOKUP($L21,Data_Validation!$A:$D,1,0)</f>
        <v>#N/A</v>
      </c>
      <c r="U21" s="656" t="e">
        <f>+VLOOKUP($L21,Data_Validation!$A:$D,3,0)</f>
        <v>#N/A</v>
      </c>
      <c r="V21" s="656" t="e">
        <f>+VLOOKUP($L21,Data_Validation!$A:$D,4,0)</f>
        <v>#N/A</v>
      </c>
      <c r="W21" s="656" t="e">
        <f>+VLOOKUP($L21,Data_Validation!$A:$E,5,0)</f>
        <v>#N/A</v>
      </c>
      <c r="X21" s="656" t="e">
        <f>+VLOOKUP($L21,Data_Validation!$A:$F,6,0)</f>
        <v>#N/A</v>
      </c>
    </row>
    <row r="22" spans="1:24" ht="15" customHeight="1">
      <c r="A22" s="1218" t="s">
        <v>3943</v>
      </c>
      <c r="B22" s="1218" t="s">
        <v>3944</v>
      </c>
      <c r="C22" s="1219"/>
      <c r="D22" s="1219"/>
      <c r="E22" s="1219"/>
      <c r="F22" s="1218" t="s">
        <v>2</v>
      </c>
      <c r="G22" s="1218" t="s">
        <v>3942</v>
      </c>
      <c r="H22" s="1218" t="s">
        <v>3950</v>
      </c>
      <c r="I22" s="1220">
        <v>142.97</v>
      </c>
      <c r="J22" s="1220">
        <v>0</v>
      </c>
      <c r="K22" s="1220">
        <v>142.97</v>
      </c>
      <c r="L22" s="653" t="str">
        <f t="shared" si="2"/>
        <v>267</v>
      </c>
      <c r="M22" s="654" t="str">
        <f t="shared" si="0"/>
        <v>TAUX MAIN D'OEUVRE - GARANTIE - VW - VEB</v>
      </c>
      <c r="N22" s="655">
        <f>+IF(OR($Q22=Parametres!$G$2,$Q22=Parametres!$G$3),I22,C22)</f>
        <v>142.97</v>
      </c>
      <c r="O22" s="655">
        <f>+IF(OR($Q22=Parametres!$G$2,$Q22=Parametres!$G$3),J22,D22)</f>
        <v>0</v>
      </c>
      <c r="P22" s="655">
        <f>+IF(OR($Q22=Parametres!$G$2,$Q22=Parametres!$G$3),K22,E22)</f>
        <v>142.97</v>
      </c>
      <c r="Q22" s="654" t="str">
        <f t="shared" ref="Q22:S22" si="22">+F22</f>
        <v>1-Mémo</v>
      </c>
      <c r="R22" s="653" t="str">
        <f t="shared" si="22"/>
        <v>26</v>
      </c>
      <c r="S22" s="654" t="str">
        <f t="shared" si="22"/>
        <v>_</v>
      </c>
      <c r="T22" s="656" t="e">
        <f>+VLOOKUP($L22,Data_Validation!$A:$D,1,0)</f>
        <v>#N/A</v>
      </c>
      <c r="U22" s="656" t="e">
        <f>+VLOOKUP($L22,Data_Validation!$A:$D,3,0)</f>
        <v>#N/A</v>
      </c>
      <c r="V22" s="656" t="e">
        <f>+VLOOKUP($L22,Data_Validation!$A:$D,4,0)</f>
        <v>#N/A</v>
      </c>
      <c r="W22" s="656" t="e">
        <f>+VLOOKUP($L22,Data_Validation!$A:$E,5,0)</f>
        <v>#N/A</v>
      </c>
      <c r="X22" s="656" t="e">
        <f>+VLOOKUP($L22,Data_Validation!$A:$F,6,0)</f>
        <v>#N/A</v>
      </c>
    </row>
    <row r="23" spans="1:24" ht="15" customHeight="1">
      <c r="A23" s="1218" t="s">
        <v>3945</v>
      </c>
      <c r="B23" s="1218" t="s">
        <v>3946</v>
      </c>
      <c r="C23" s="1219"/>
      <c r="D23" s="1219"/>
      <c r="E23" s="1219"/>
      <c r="F23" s="1218" t="s">
        <v>2</v>
      </c>
      <c r="G23" s="1218" t="s">
        <v>3942</v>
      </c>
      <c r="H23" s="1218" t="s">
        <v>3950</v>
      </c>
      <c r="I23" s="1220">
        <v>154.94999999999999</v>
      </c>
      <c r="J23" s="1220">
        <v>0</v>
      </c>
      <c r="K23" s="1220">
        <v>154.94999999999999</v>
      </c>
      <c r="L23" s="653" t="str">
        <f t="shared" si="2"/>
        <v>268</v>
      </c>
      <c r="M23" s="654" t="str">
        <f t="shared" si="0"/>
        <v>TAUX MAIN D'OEUVRE - INTERNE - VW - VEB</v>
      </c>
      <c r="N23" s="655">
        <f>+IF(OR($Q23=Parametres!$G$2,$Q23=Parametres!$G$3),I23,C23)</f>
        <v>154.94999999999999</v>
      </c>
      <c r="O23" s="655">
        <f>+IF(OR($Q23=Parametres!$G$2,$Q23=Parametres!$G$3),J23,D23)</f>
        <v>0</v>
      </c>
      <c r="P23" s="655">
        <f>+IF(OR($Q23=Parametres!$G$2,$Q23=Parametres!$G$3),K23,E23)</f>
        <v>154.94999999999999</v>
      </c>
      <c r="Q23" s="654" t="str">
        <f t="shared" ref="Q23:S23" si="23">+F23</f>
        <v>1-Mémo</v>
      </c>
      <c r="R23" s="653" t="str">
        <f t="shared" si="23"/>
        <v>26</v>
      </c>
      <c r="S23" s="654" t="str">
        <f t="shared" si="23"/>
        <v>_</v>
      </c>
      <c r="T23" s="656" t="e">
        <f>+VLOOKUP($L23,Data_Validation!$A:$D,1,0)</f>
        <v>#N/A</v>
      </c>
      <c r="U23" s="656" t="e">
        <f>+VLOOKUP($L23,Data_Validation!$A:$D,3,0)</f>
        <v>#N/A</v>
      </c>
      <c r="V23" s="656" t="e">
        <f>+VLOOKUP($L23,Data_Validation!$A:$D,4,0)</f>
        <v>#N/A</v>
      </c>
      <c r="W23" s="656" t="e">
        <f>+VLOOKUP($L23,Data_Validation!$A:$E,5,0)</f>
        <v>#N/A</v>
      </c>
      <c r="X23" s="656" t="e">
        <f>+VLOOKUP($L23,Data_Validation!$A:$F,6,0)</f>
        <v>#N/A</v>
      </c>
    </row>
    <row r="24" spans="1:24" ht="15" customHeight="1">
      <c r="A24" s="1218" t="s">
        <v>3947</v>
      </c>
      <c r="B24" s="1218" t="s">
        <v>3948</v>
      </c>
      <c r="C24" s="1219"/>
      <c r="D24" s="1219"/>
      <c r="E24" s="1219"/>
      <c r="F24" s="1218" t="s">
        <v>2</v>
      </c>
      <c r="G24" s="1218" t="s">
        <v>3942</v>
      </c>
      <c r="H24" s="1218" t="s">
        <v>3950</v>
      </c>
      <c r="I24" s="1220">
        <v>75</v>
      </c>
      <c r="J24" s="1220">
        <v>0</v>
      </c>
      <c r="K24" s="1220">
        <v>75</v>
      </c>
      <c r="L24" s="653" t="str">
        <f t="shared" si="2"/>
        <v>269</v>
      </c>
      <c r="M24" s="654" t="str">
        <f t="shared" si="0"/>
        <v>TAUX MAIN D'OEUVRE - BODY - VW - VEB</v>
      </c>
      <c r="N24" s="655">
        <f>+IF(OR($Q24=Parametres!$G$2,$Q24=Parametres!$G$3),I24,C24)</f>
        <v>75</v>
      </c>
      <c r="O24" s="655">
        <f>+IF(OR($Q24=Parametres!$G$2,$Q24=Parametres!$G$3),J24,D24)</f>
        <v>0</v>
      </c>
      <c r="P24" s="655">
        <f>+IF(OR($Q24=Parametres!$G$2,$Q24=Parametres!$G$3),K24,E24)</f>
        <v>75</v>
      </c>
      <c r="Q24" s="654" t="str">
        <f t="shared" ref="Q24:S24" si="24">+F24</f>
        <v>1-Mémo</v>
      </c>
      <c r="R24" s="653" t="str">
        <f t="shared" si="24"/>
        <v>26</v>
      </c>
      <c r="S24" s="654" t="str">
        <f t="shared" si="24"/>
        <v>_</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customHeight="1">
      <c r="A25" s="1218" t="s">
        <v>747</v>
      </c>
      <c r="B25" s="1218" t="s">
        <v>1763</v>
      </c>
      <c r="C25" s="1219"/>
      <c r="D25" s="1219"/>
      <c r="E25" s="1219"/>
      <c r="F25" s="1218" t="s">
        <v>2</v>
      </c>
      <c r="G25" s="1218" t="s">
        <v>748</v>
      </c>
      <c r="H25" s="1218" t="s">
        <v>3950</v>
      </c>
      <c r="I25" s="1220">
        <v>437802.9</v>
      </c>
      <c r="J25" s="1220">
        <v>0</v>
      </c>
      <c r="K25" s="1220">
        <v>437802.9</v>
      </c>
      <c r="L25" s="653" t="str">
        <f t="shared" si="2"/>
        <v>300</v>
      </c>
      <c r="M25" s="654" t="str">
        <f t="shared" si="0"/>
        <v>REC VEH PASSE DU 30-60</v>
      </c>
      <c r="N25" s="655">
        <f>+IF(OR($Q25=Parametres!$G$2,$Q25=Parametres!$G$3),I25,C25)</f>
        <v>437802.9</v>
      </c>
      <c r="O25" s="655">
        <f>+IF(OR($Q25=Parametres!$G$2,$Q25=Parametres!$G$3),J25,D25)</f>
        <v>0</v>
      </c>
      <c r="P25" s="655">
        <f>+IF(OR($Q25=Parametres!$G$2,$Q25=Parametres!$G$3),K25,E25)</f>
        <v>437802.9</v>
      </c>
      <c r="Q25" s="654" t="str">
        <f t="shared" ref="Q25:S25" si="25">+F25</f>
        <v>1-Mémo</v>
      </c>
      <c r="R25" s="653" t="str">
        <f t="shared" si="25"/>
        <v>30</v>
      </c>
      <c r="S25" s="654" t="str">
        <f t="shared" si="25"/>
        <v>_</v>
      </c>
      <c r="T25" s="656" t="str">
        <f>+VLOOKUP($L25,Data_Validation!$A:$D,1,0)</f>
        <v>300</v>
      </c>
      <c r="U25" s="656">
        <f>+VLOOKUP($L25,Data_Validation!$A:$D,3,0)</f>
        <v>0</v>
      </c>
      <c r="V25" s="656">
        <f>+VLOOKUP($L25,Data_Validation!$A:$D,4,0)</f>
        <v>0</v>
      </c>
      <c r="W25" s="656">
        <f>+VLOOKUP($L25,Data_Validation!$A:$E,5,0)</f>
        <v>0</v>
      </c>
      <c r="X25" s="656">
        <f>+VLOOKUP($L25,Data_Validation!$A:$F,6,0)</f>
        <v>0</v>
      </c>
    </row>
    <row r="26" spans="1:24" ht="15.75" customHeight="1">
      <c r="A26" s="1218" t="s">
        <v>749</v>
      </c>
      <c r="B26" s="1218" t="s">
        <v>1774</v>
      </c>
      <c r="C26" s="1219"/>
      <c r="D26" s="1219"/>
      <c r="E26" s="1219"/>
      <c r="F26" s="1218" t="s">
        <v>2</v>
      </c>
      <c r="G26" s="1218" t="s">
        <v>748</v>
      </c>
      <c r="H26" s="1218" t="s">
        <v>3950</v>
      </c>
      <c r="I26" s="1220">
        <v>206680.1</v>
      </c>
      <c r="J26" s="1220">
        <v>0</v>
      </c>
      <c r="K26" s="1220">
        <v>206680.1</v>
      </c>
      <c r="L26" s="653" t="str">
        <f t="shared" si="2"/>
        <v>301</v>
      </c>
      <c r="M26" s="654" t="str">
        <f t="shared" si="0"/>
        <v>CLIENT S P ET A PASSE DU 30-60</v>
      </c>
      <c r="N26" s="655">
        <f>+IF(OR($Q26=Parametres!$G$2,$Q26=Parametres!$G$3),I26,C26)</f>
        <v>206680.1</v>
      </c>
      <c r="O26" s="655">
        <f>+IF(OR($Q26=Parametres!$G$2,$Q26=Parametres!$G$3),J26,D26)</f>
        <v>0</v>
      </c>
      <c r="P26" s="655">
        <f>+IF(OR($Q26=Parametres!$G$2,$Q26=Parametres!$G$3),K26,E26)</f>
        <v>206680.1</v>
      </c>
      <c r="Q26" s="654" t="str">
        <f t="shared" ref="Q26:S26" si="26">+F26</f>
        <v>1-Mémo</v>
      </c>
      <c r="R26" s="653" t="str">
        <f t="shared" si="26"/>
        <v>30</v>
      </c>
      <c r="S26" s="654" t="str">
        <f t="shared" si="26"/>
        <v>_</v>
      </c>
      <c r="T26" s="656" t="str">
        <f>+VLOOKUP($L26,Data_Validation!$A:$D,1,0)</f>
        <v>301</v>
      </c>
      <c r="U26" s="656">
        <f>+VLOOKUP($L26,Data_Validation!$A:$D,3,0)</f>
        <v>0</v>
      </c>
      <c r="V26" s="656">
        <f>+VLOOKUP($L26,Data_Validation!$A:$D,4,0)</f>
        <v>0</v>
      </c>
      <c r="W26" s="656">
        <f>+VLOOKUP($L26,Data_Validation!$A:$E,5,0)</f>
        <v>0</v>
      </c>
      <c r="X26" s="656">
        <f>+VLOOKUP($L26,Data_Validation!$A:$F,6,0)</f>
        <v>0</v>
      </c>
    </row>
    <row r="27" spans="1:24" ht="15" customHeight="1">
      <c r="A27" s="1218" t="s">
        <v>750</v>
      </c>
      <c r="B27" s="1218" t="s">
        <v>1777</v>
      </c>
      <c r="C27" s="1219"/>
      <c r="D27" s="1219"/>
      <c r="E27" s="1219"/>
      <c r="F27" s="1218" t="s">
        <v>2</v>
      </c>
      <c r="G27" s="1218" t="s">
        <v>748</v>
      </c>
      <c r="H27" s="1218" t="s">
        <v>3950</v>
      </c>
      <c r="I27" s="1220">
        <v>52873.13</v>
      </c>
      <c r="J27" s="1220">
        <v>0</v>
      </c>
      <c r="K27" s="1220">
        <v>52873.13</v>
      </c>
      <c r="L27" s="653" t="str">
        <f t="shared" si="2"/>
        <v>302</v>
      </c>
      <c r="M27" s="654" t="str">
        <f t="shared" si="0"/>
        <v>RECLAM GARANTIE VW PASSE DU 30-60</v>
      </c>
      <c r="N27" s="655">
        <f>+IF(OR($Q27=Parametres!$G$2,$Q27=Parametres!$G$3),I27,C27)</f>
        <v>52873.13</v>
      </c>
      <c r="O27" s="655">
        <f>+IF(OR($Q27=Parametres!$G$2,$Q27=Parametres!$G$3),J27,D27)</f>
        <v>0</v>
      </c>
      <c r="P27" s="655">
        <f>+IF(OR($Q27=Parametres!$G$2,$Q27=Parametres!$G$3),K27,E27)</f>
        <v>52873.13</v>
      </c>
      <c r="Q27" s="654" t="str">
        <f t="shared" ref="Q27:S27" si="27">+F27</f>
        <v>1-Mémo</v>
      </c>
      <c r="R27" s="653" t="str">
        <f t="shared" si="27"/>
        <v>30</v>
      </c>
      <c r="S27" s="654" t="str">
        <f t="shared" si="27"/>
        <v>_</v>
      </c>
      <c r="T27" s="656" t="str">
        <f>+VLOOKUP($L27,Data_Validation!$A:$D,1,0)</f>
        <v>302</v>
      </c>
      <c r="U27" s="656">
        <f>+VLOOKUP($L27,Data_Validation!$A:$D,3,0)</f>
        <v>0</v>
      </c>
      <c r="V27" s="656">
        <f>+VLOOKUP($L27,Data_Validation!$A:$D,4,0)</f>
        <v>0</v>
      </c>
      <c r="W27" s="656">
        <f>+VLOOKUP($L27,Data_Validation!$A:$E,5,0)</f>
        <v>0</v>
      </c>
      <c r="X27" s="656">
        <f>+VLOOKUP($L27,Data_Validation!$A:$F,6,0)</f>
        <v>0</v>
      </c>
    </row>
    <row r="28" spans="1:24" ht="15" customHeight="1">
      <c r="A28" s="1218" t="s">
        <v>751</v>
      </c>
      <c r="B28" s="1218" t="s">
        <v>1780</v>
      </c>
      <c r="C28" s="1219"/>
      <c r="D28" s="1219"/>
      <c r="E28" s="1219"/>
      <c r="F28" s="1218" t="s">
        <v>2</v>
      </c>
      <c r="G28" s="1218" t="s">
        <v>748</v>
      </c>
      <c r="H28" s="1218" t="s">
        <v>3950</v>
      </c>
      <c r="I28" s="1220">
        <v>401988</v>
      </c>
      <c r="J28" s="1220">
        <v>0</v>
      </c>
      <c r="K28" s="1220">
        <v>401988</v>
      </c>
      <c r="L28" s="653" t="str">
        <f t="shared" si="2"/>
        <v>307</v>
      </c>
      <c r="M28" s="654" t="str">
        <f t="shared" si="0"/>
        <v>AUTRE REC MANUFACTURIER VW PASSE DU 30-60</v>
      </c>
      <c r="N28" s="655">
        <f>+IF(OR($Q28=Parametres!$G$2,$Q28=Parametres!$G$3),I28,C28)</f>
        <v>401988</v>
      </c>
      <c r="O28" s="655">
        <f>+IF(OR($Q28=Parametres!$G$2,$Q28=Parametres!$G$3),J28,D28)</f>
        <v>0</v>
      </c>
      <c r="P28" s="655">
        <f>+IF(OR($Q28=Parametres!$G$2,$Q28=Parametres!$G$3),K28,E28)</f>
        <v>401988</v>
      </c>
      <c r="Q28" s="654" t="str">
        <f t="shared" ref="Q28:S28" si="28">+F28</f>
        <v>1-Mémo</v>
      </c>
      <c r="R28" s="653" t="str">
        <f t="shared" si="28"/>
        <v>30</v>
      </c>
      <c r="S28" s="654" t="str">
        <f t="shared" si="28"/>
        <v>_</v>
      </c>
      <c r="T28" s="656" t="str">
        <f>+VLOOKUP($L28,Data_Validation!$A:$D,1,0)</f>
        <v>307</v>
      </c>
      <c r="U28" s="656">
        <f>+VLOOKUP($L28,Data_Validation!$A:$D,3,0)</f>
        <v>0</v>
      </c>
      <c r="V28" s="656">
        <f>+VLOOKUP($L28,Data_Validation!$A:$D,4,0)</f>
        <v>0</v>
      </c>
      <c r="W28" s="656">
        <f>+VLOOKUP($L28,Data_Validation!$A:$E,5,0)</f>
        <v>0</v>
      </c>
      <c r="X28" s="656">
        <f>+VLOOKUP($L28,Data_Validation!$A:$F,6,0)</f>
        <v>0</v>
      </c>
    </row>
    <row r="29" spans="1:24" ht="15" customHeight="1">
      <c r="A29" s="1218" t="s">
        <v>752</v>
      </c>
      <c r="B29" s="1218" t="s">
        <v>1783</v>
      </c>
      <c r="C29" s="1219"/>
      <c r="D29" s="1219"/>
      <c r="E29" s="1219"/>
      <c r="F29" s="1218" t="s">
        <v>2</v>
      </c>
      <c r="G29" s="1218" t="s">
        <v>3325</v>
      </c>
      <c r="H29" s="1218" t="s">
        <v>3950</v>
      </c>
      <c r="I29" s="1220">
        <v>34438.339999999997</v>
      </c>
      <c r="J29" s="1220">
        <v>0</v>
      </c>
      <c r="K29" s="1220">
        <v>34438.339999999997</v>
      </c>
      <c r="L29" s="653" t="str">
        <f t="shared" si="2"/>
        <v>311</v>
      </c>
      <c r="M29" s="654" t="str">
        <f t="shared" si="0"/>
        <v>CLIENT VEH PLUS DE 60</v>
      </c>
      <c r="N29" s="655">
        <f>+IF(OR($Q29=Parametres!$G$2,$Q29=Parametres!$G$3),I29,C29)</f>
        <v>34438.339999999997</v>
      </c>
      <c r="O29" s="655">
        <f>+IF(OR($Q29=Parametres!$G$2,$Q29=Parametres!$G$3),J29,D29)</f>
        <v>0</v>
      </c>
      <c r="P29" s="655">
        <f>+IF(OR($Q29=Parametres!$G$2,$Q29=Parametres!$G$3),K29,E29)</f>
        <v>34438.339999999997</v>
      </c>
      <c r="Q29" s="654" t="str">
        <f t="shared" ref="Q29:S29" si="29">+F29</f>
        <v>1-Mémo</v>
      </c>
      <c r="R29" s="653" t="str">
        <f t="shared" si="29"/>
        <v>31</v>
      </c>
      <c r="S29" s="654" t="str">
        <f t="shared" si="29"/>
        <v>_</v>
      </c>
      <c r="T29" s="656" t="str">
        <f>+VLOOKUP($L29,Data_Validation!$A:$D,1,0)</f>
        <v>311</v>
      </c>
      <c r="U29" s="656">
        <f>+VLOOKUP($L29,Data_Validation!$A:$D,3,0)</f>
        <v>0</v>
      </c>
      <c r="V29" s="656">
        <f>+VLOOKUP($L29,Data_Validation!$A:$D,4,0)</f>
        <v>0</v>
      </c>
      <c r="W29" s="656">
        <f>+VLOOKUP($L29,Data_Validation!$A:$E,5,0)</f>
        <v>0</v>
      </c>
      <c r="X29" s="656">
        <f>+VLOOKUP($L29,Data_Validation!$A:$F,6,0)</f>
        <v>0</v>
      </c>
    </row>
    <row r="30" spans="1:24" ht="15" customHeight="1">
      <c r="A30" s="1218" t="s">
        <v>753</v>
      </c>
      <c r="B30" s="1218" t="s">
        <v>1786</v>
      </c>
      <c r="C30" s="1219"/>
      <c r="D30" s="1219"/>
      <c r="E30" s="1219"/>
      <c r="F30" s="1218" t="s">
        <v>2</v>
      </c>
      <c r="G30" s="1218" t="s">
        <v>3325</v>
      </c>
      <c r="H30" s="1218" t="s">
        <v>3950</v>
      </c>
      <c r="I30" s="1220">
        <v>79625.100000000006</v>
      </c>
      <c r="J30" s="1220">
        <v>0</v>
      </c>
      <c r="K30" s="1220">
        <v>79625.100000000006</v>
      </c>
      <c r="L30" s="653" t="str">
        <f t="shared" si="2"/>
        <v>312</v>
      </c>
      <c r="M30" s="654" t="str">
        <f t="shared" si="0"/>
        <v>CLIENT S P ET A PLUS DE 60</v>
      </c>
      <c r="N30" s="655">
        <f>+IF(OR($Q30=Parametres!$G$2,$Q30=Parametres!$G$3),I30,C30)</f>
        <v>79625.100000000006</v>
      </c>
      <c r="O30" s="659">
        <f>+IF(OR($Q30=Parametres!$G$2,$Q30=Parametres!$G$3),J30,D30)</f>
        <v>0</v>
      </c>
      <c r="P30" s="655">
        <f>+IF(OR($Q30=Parametres!$G$2,$Q30=Parametres!$G$3),K30,E30)</f>
        <v>79625.100000000006</v>
      </c>
      <c r="Q30" s="654" t="str">
        <f t="shared" ref="Q30:S30" si="30">+F30</f>
        <v>1-Mémo</v>
      </c>
      <c r="R30" s="653" t="str">
        <f t="shared" si="30"/>
        <v>31</v>
      </c>
      <c r="S30" s="654" t="str">
        <f t="shared" si="30"/>
        <v>_</v>
      </c>
      <c r="T30" s="656" t="str">
        <f>+VLOOKUP($L30,Data_Validation!$A:$D,1,0)</f>
        <v>312</v>
      </c>
      <c r="U30" s="656">
        <f>+VLOOKUP($L30,Data_Validation!$A:$D,3,0)</f>
        <v>0</v>
      </c>
      <c r="V30" s="656">
        <f>+VLOOKUP($L30,Data_Validation!$A:$D,4,0)</f>
        <v>0</v>
      </c>
      <c r="W30" s="656">
        <f>+VLOOKUP($L30,Data_Validation!$A:$E,5,0)</f>
        <v>0</v>
      </c>
      <c r="X30" s="656">
        <f>+VLOOKUP($L30,Data_Validation!$A:$F,6,0)</f>
        <v>0</v>
      </c>
    </row>
    <row r="31" spans="1:24" ht="15" customHeight="1">
      <c r="A31" s="1218" t="s">
        <v>754</v>
      </c>
      <c r="B31" s="1218" t="s">
        <v>1789</v>
      </c>
      <c r="C31" s="1219"/>
      <c r="D31" s="1219"/>
      <c r="E31" s="1219"/>
      <c r="F31" s="1218" t="s">
        <v>2</v>
      </c>
      <c r="G31" s="1218" t="s">
        <v>3325</v>
      </c>
      <c r="H31" s="1218" t="s">
        <v>3950</v>
      </c>
      <c r="I31" s="1220">
        <v>36408.33</v>
      </c>
      <c r="J31" s="1220">
        <v>0</v>
      </c>
      <c r="K31" s="1220">
        <v>36408.33</v>
      </c>
      <c r="L31" s="653" t="str">
        <f t="shared" si="2"/>
        <v>313</v>
      </c>
      <c r="M31" s="654" t="str">
        <f t="shared" si="0"/>
        <v>RECLAMATIONS DE GARATIE VW PLUS DE 60</v>
      </c>
      <c r="N31" s="655">
        <f>+IF(OR($Q31=Parametres!$G$2,$Q31=Parametres!$G$3),I31,C31)</f>
        <v>36408.33</v>
      </c>
      <c r="O31" s="655">
        <f>+IF(OR($Q31=Parametres!$G$2,$Q31=Parametres!$G$3),J31,D31)</f>
        <v>0</v>
      </c>
      <c r="P31" s="655">
        <f>+IF(OR($Q31=Parametres!$G$2,$Q31=Parametres!$G$3),K31,E31)</f>
        <v>36408.33</v>
      </c>
      <c r="Q31" s="654" t="str">
        <f t="shared" ref="Q31:S31" si="31">+F31</f>
        <v>1-Mémo</v>
      </c>
      <c r="R31" s="653" t="str">
        <f t="shared" si="31"/>
        <v>31</v>
      </c>
      <c r="S31" s="654" t="str">
        <f t="shared" si="31"/>
        <v>_</v>
      </c>
      <c r="T31" s="656" t="str">
        <f>+VLOOKUP($L31,Data_Validation!$A:$D,1,0)</f>
        <v>313</v>
      </c>
      <c r="U31" s="656">
        <f>+VLOOKUP($L31,Data_Validation!$A:$D,3,0)</f>
        <v>0</v>
      </c>
      <c r="V31" s="656">
        <f>+VLOOKUP($L31,Data_Validation!$A:$D,4,0)</f>
        <v>0</v>
      </c>
      <c r="W31" s="656">
        <f>+VLOOKUP($L31,Data_Validation!$A:$E,5,0)</f>
        <v>0</v>
      </c>
      <c r="X31" s="656">
        <f>+VLOOKUP($L31,Data_Validation!$A:$F,6,0)</f>
        <v>0</v>
      </c>
    </row>
    <row r="32" spans="1:24" ht="15" customHeight="1">
      <c r="A32" s="1218" t="s">
        <v>755</v>
      </c>
      <c r="B32" s="1218" t="s">
        <v>1792</v>
      </c>
      <c r="C32" s="1219"/>
      <c r="D32" s="1219"/>
      <c r="E32" s="1219"/>
      <c r="F32" s="1218" t="s">
        <v>2</v>
      </c>
      <c r="G32" s="1218" t="s">
        <v>3325</v>
      </c>
      <c r="H32" s="1218" t="s">
        <v>3950</v>
      </c>
      <c r="I32" s="1220">
        <v>185402</v>
      </c>
      <c r="J32" s="1220">
        <v>0</v>
      </c>
      <c r="K32" s="1220">
        <v>185402</v>
      </c>
      <c r="L32" s="653" t="str">
        <f t="shared" si="2"/>
        <v>316</v>
      </c>
      <c r="M32" s="654" t="str">
        <f t="shared" si="0"/>
        <v>AUTRE REC MANUFACTURIER VW PLUS DE 60</v>
      </c>
      <c r="N32" s="655">
        <f>+IF(OR($Q32=Parametres!$G$2,$Q32=Parametres!$G$3),I32,C32)</f>
        <v>185402</v>
      </c>
      <c r="O32" s="659">
        <f>+IF(OR($Q32=Parametres!$G$2,$Q32=Parametres!$G$3),J32,D32)</f>
        <v>0</v>
      </c>
      <c r="P32" s="655">
        <f>+IF(OR($Q32=Parametres!$G$2,$Q32=Parametres!$G$3),K32,E32)</f>
        <v>185402</v>
      </c>
      <c r="Q32" s="654" t="str">
        <f t="shared" ref="Q32:S32" si="32">+F32</f>
        <v>1-Mémo</v>
      </c>
      <c r="R32" s="653" t="str">
        <f t="shared" si="32"/>
        <v>31</v>
      </c>
      <c r="S32" s="654" t="str">
        <f t="shared" si="32"/>
        <v>_</v>
      </c>
      <c r="T32" s="656" t="str">
        <f>+VLOOKUP($L32,Data_Validation!$A:$D,1,0)</f>
        <v>316</v>
      </c>
      <c r="U32" s="656">
        <f>+VLOOKUP($L32,Data_Validation!$A:$D,3,0)</f>
        <v>0</v>
      </c>
      <c r="V32" s="656">
        <f>+VLOOKUP($L32,Data_Validation!$A:$D,4,0)</f>
        <v>0</v>
      </c>
      <c r="W32" s="656">
        <f>+VLOOKUP($L32,Data_Validation!$A:$E,5,0)</f>
        <v>0</v>
      </c>
      <c r="X32" s="656">
        <f>+VLOOKUP($L32,Data_Validation!$A:$F,6,0)</f>
        <v>0</v>
      </c>
    </row>
    <row r="33" spans="1:24" ht="15" customHeight="1">
      <c r="A33" s="1218" t="s">
        <v>756</v>
      </c>
      <c r="B33" s="1218" t="s">
        <v>1798</v>
      </c>
      <c r="C33" s="1219"/>
      <c r="D33" s="1219"/>
      <c r="E33" s="1219"/>
      <c r="F33" s="1218" t="s">
        <v>2</v>
      </c>
      <c r="G33" s="1218" t="s">
        <v>3326</v>
      </c>
      <c r="H33" s="1218" t="s">
        <v>3950</v>
      </c>
      <c r="I33" s="1220">
        <v>0.26</v>
      </c>
      <c r="J33" s="1220">
        <v>0</v>
      </c>
      <c r="K33" s="1220">
        <v>0.26</v>
      </c>
      <c r="L33" s="653" t="str">
        <f t="shared" si="2"/>
        <v>350</v>
      </c>
      <c r="M33" s="654" t="str">
        <f t="shared" si="0"/>
        <v>UNITES USAGES +30JRS</v>
      </c>
      <c r="N33" s="655">
        <f>+IF(OR($Q33=Parametres!$G$2,$Q33=Parametres!$G$3),I33,C33)</f>
        <v>0.26</v>
      </c>
      <c r="O33" s="655">
        <f>+IF(OR($Q33=Parametres!$G$2,$Q33=Parametres!$G$3),J33,D33)</f>
        <v>0</v>
      </c>
      <c r="P33" s="655">
        <f>+IF(OR($Q33=Parametres!$G$2,$Q33=Parametres!$G$3),K33,E33)</f>
        <v>0.26</v>
      </c>
      <c r="Q33" s="654" t="str">
        <f t="shared" ref="Q33:S33" si="33">+F33</f>
        <v>1-Mémo</v>
      </c>
      <c r="R33" s="653" t="str">
        <f t="shared" si="33"/>
        <v>35</v>
      </c>
      <c r="S33" s="654" t="str">
        <f t="shared" si="33"/>
        <v>_</v>
      </c>
      <c r="T33" s="656" t="str">
        <f>+VLOOKUP($L33,Data_Validation!$A:$D,1,0)</f>
        <v>350</v>
      </c>
      <c r="U33" s="656">
        <f>+VLOOKUP($L33,Data_Validation!$A:$D,3,0)</f>
        <v>0</v>
      </c>
      <c r="V33" s="656">
        <f>+VLOOKUP($L33,Data_Validation!$A:$D,4,0)</f>
        <v>0</v>
      </c>
      <c r="W33" s="656">
        <f>+VLOOKUP($L33,Data_Validation!$A:$E,5,0)</f>
        <v>0</v>
      </c>
      <c r="X33" s="656">
        <f>+VLOOKUP($L33,Data_Validation!$A:$F,6,0)</f>
        <v>0</v>
      </c>
    </row>
    <row r="34" spans="1:24" ht="15.75" customHeight="1">
      <c r="A34" s="1218" t="s">
        <v>757</v>
      </c>
      <c r="B34" s="1218" t="s">
        <v>1801</v>
      </c>
      <c r="C34" s="1219"/>
      <c r="D34" s="1219"/>
      <c r="E34" s="1219"/>
      <c r="F34" s="1218" t="s">
        <v>2</v>
      </c>
      <c r="G34" s="1218" t="s">
        <v>3327</v>
      </c>
      <c r="H34" s="1218" t="s">
        <v>3950</v>
      </c>
      <c r="I34" s="1220">
        <v>546559.56000000006</v>
      </c>
      <c r="J34" s="1220">
        <v>0</v>
      </c>
      <c r="K34" s="1220">
        <v>546559.56000000006</v>
      </c>
      <c r="L34" s="653" t="str">
        <f t="shared" si="2"/>
        <v>360</v>
      </c>
      <c r="M34" s="654" t="str">
        <f t="shared" si="0"/>
        <v>OCCASION VW + 60 JRS</v>
      </c>
      <c r="N34" s="655">
        <f>+IF(OR($Q34=Parametres!$G$2,$Q34=Parametres!$G$3),I34,C34)</f>
        <v>546559.56000000006</v>
      </c>
      <c r="O34" s="655">
        <f>+IF(OR($Q34=Parametres!$G$2,$Q34=Parametres!$G$3),J34,D34)</f>
        <v>0</v>
      </c>
      <c r="P34" s="655">
        <f>+IF(OR($Q34=Parametres!$G$2,$Q34=Parametres!$G$3),K34,E34)</f>
        <v>546559.56000000006</v>
      </c>
      <c r="Q34" s="654" t="str">
        <f t="shared" ref="Q34:S34" si="34">+F34</f>
        <v>1-Mémo</v>
      </c>
      <c r="R34" s="653" t="str">
        <f t="shared" si="34"/>
        <v>36</v>
      </c>
      <c r="S34" s="654" t="str">
        <f t="shared" si="34"/>
        <v>_</v>
      </c>
      <c r="T34" s="656" t="str">
        <f>+VLOOKUP($L34,Data_Validation!$A:$D,1,0)</f>
        <v>360</v>
      </c>
      <c r="U34" s="656">
        <f>+VLOOKUP($L34,Data_Validation!$A:$D,3,0)</f>
        <v>0</v>
      </c>
      <c r="V34" s="656">
        <f>+VLOOKUP($L34,Data_Validation!$A:$D,4,0)</f>
        <v>0</v>
      </c>
      <c r="W34" s="656">
        <f>+VLOOKUP($L34,Data_Validation!$A:$E,5,0)</f>
        <v>0</v>
      </c>
      <c r="X34" s="656">
        <f>+VLOOKUP($L34,Data_Validation!$A:$F,6,0)</f>
        <v>0</v>
      </c>
    </row>
    <row r="35" spans="1:24" ht="15" customHeight="1">
      <c r="A35" s="1218" t="s">
        <v>758</v>
      </c>
      <c r="B35" s="1218" t="s">
        <v>1804</v>
      </c>
      <c r="C35" s="1219"/>
      <c r="D35" s="1219"/>
      <c r="E35" s="1219"/>
      <c r="F35" s="1218" t="s">
        <v>2</v>
      </c>
      <c r="G35" s="1218" t="s">
        <v>3328</v>
      </c>
      <c r="H35" s="1218" t="s">
        <v>3950</v>
      </c>
      <c r="I35" s="1220">
        <v>5293302</v>
      </c>
      <c r="J35" s="1220">
        <v>0</v>
      </c>
      <c r="K35" s="1220">
        <v>5293302</v>
      </c>
      <c r="L35" s="653" t="str">
        <f t="shared" si="2"/>
        <v>370</v>
      </c>
      <c r="M35" s="654" t="str">
        <f t="shared" si="0"/>
        <v>AVOIR DU PROP. MIM. REQUIS</v>
      </c>
      <c r="N35" s="655">
        <f>+IF(OR($Q35=Parametres!$G$2,$Q35=Parametres!$G$3),I35,C35)</f>
        <v>5293302</v>
      </c>
      <c r="O35" s="655">
        <f>+IF(OR($Q35=Parametres!$G$2,$Q35=Parametres!$G$3),J35,D35)</f>
        <v>0</v>
      </c>
      <c r="P35" s="655">
        <f>+IF(OR($Q35=Parametres!$G$2,$Q35=Parametres!$G$3),K35,E35)</f>
        <v>5293302</v>
      </c>
      <c r="Q35" s="654" t="str">
        <f t="shared" ref="Q35:S35" si="35">+F35</f>
        <v>1-Mémo</v>
      </c>
      <c r="R35" s="653" t="str">
        <f t="shared" si="35"/>
        <v>37</v>
      </c>
      <c r="S35" s="654" t="str">
        <f t="shared" si="35"/>
        <v>_</v>
      </c>
      <c r="T35" s="656" t="str">
        <f>+VLOOKUP($L35,Data_Validation!$A:$D,1,0)</f>
        <v>370</v>
      </c>
      <c r="U35" s="656">
        <f>+VLOOKUP($L35,Data_Validation!$A:$D,3,0)</f>
        <v>0</v>
      </c>
      <c r="V35" s="656">
        <f>+VLOOKUP($L35,Data_Validation!$A:$D,4,0)</f>
        <v>0</v>
      </c>
      <c r="W35" s="656">
        <f>+VLOOKUP($L35,Data_Validation!$A:$E,5,0)</f>
        <v>0</v>
      </c>
      <c r="X35" s="656">
        <f>+VLOOKUP($L35,Data_Validation!$A:$F,6,0)</f>
        <v>0</v>
      </c>
    </row>
    <row r="36" spans="1:24" ht="15" customHeight="1">
      <c r="A36" s="1218" t="s">
        <v>759</v>
      </c>
      <c r="B36" s="1218" t="s">
        <v>1807</v>
      </c>
      <c r="C36" s="1219"/>
      <c r="D36" s="1219"/>
      <c r="E36" s="1219"/>
      <c r="F36" s="1218" t="s">
        <v>2</v>
      </c>
      <c r="G36" s="1218" t="s">
        <v>3328</v>
      </c>
      <c r="H36" s="1218" t="s">
        <v>3950</v>
      </c>
      <c r="I36" s="1220">
        <v>1834098</v>
      </c>
      <c r="J36" s="1220">
        <v>0</v>
      </c>
      <c r="K36" s="1220">
        <v>1834098</v>
      </c>
      <c r="L36" s="653" t="str">
        <f t="shared" si="2"/>
        <v>372</v>
      </c>
      <c r="M36" s="654" t="str">
        <f t="shared" si="0"/>
        <v>FONDS DE ROULEMENT/MIN. REQUIS</v>
      </c>
      <c r="N36" s="655">
        <f>+IF(OR($Q36=Parametres!$G$2,$Q36=Parametres!$G$3),I36,C36)</f>
        <v>1834098</v>
      </c>
      <c r="O36" s="655">
        <f>+IF(OR($Q36=Parametres!$G$2,$Q36=Parametres!$G$3),J36,D36)</f>
        <v>0</v>
      </c>
      <c r="P36" s="655">
        <f>+IF(OR($Q36=Parametres!$G$2,$Q36=Parametres!$G$3),K36,E36)</f>
        <v>1834098</v>
      </c>
      <c r="Q36" s="654" t="str">
        <f t="shared" ref="Q36:S36" si="36">+F36</f>
        <v>1-Mémo</v>
      </c>
      <c r="R36" s="653" t="str">
        <f t="shared" si="36"/>
        <v>37</v>
      </c>
      <c r="S36" s="654" t="str">
        <f t="shared" si="36"/>
        <v>_</v>
      </c>
      <c r="T36" s="656" t="str">
        <f>+VLOOKUP($L36,Data_Validation!$A:$D,1,0)</f>
        <v>372</v>
      </c>
      <c r="U36" s="656">
        <f>+VLOOKUP($L36,Data_Validation!$A:$D,3,0)</f>
        <v>0</v>
      </c>
      <c r="V36" s="656">
        <f>+VLOOKUP($L36,Data_Validation!$A:$D,4,0)</f>
        <v>0</v>
      </c>
      <c r="W36" s="656">
        <f>+VLOOKUP($L36,Data_Validation!$A:$E,5,0)</f>
        <v>0</v>
      </c>
      <c r="X36" s="656">
        <f>+VLOOKUP($L36,Data_Validation!$A:$F,6,0)</f>
        <v>0</v>
      </c>
    </row>
    <row r="37" spans="1:24" ht="15" customHeight="1">
      <c r="A37" s="1218" t="s">
        <v>760</v>
      </c>
      <c r="B37" s="1218" t="s">
        <v>1812</v>
      </c>
      <c r="C37" s="1219"/>
      <c r="D37" s="1219"/>
      <c r="E37" s="1219"/>
      <c r="F37" s="1218" t="s">
        <v>2</v>
      </c>
      <c r="G37" s="1218" t="s">
        <v>761</v>
      </c>
      <c r="H37" s="1218" t="s">
        <v>3950</v>
      </c>
      <c r="I37" s="1220">
        <v>0.54</v>
      </c>
      <c r="J37" s="1220">
        <v>0</v>
      </c>
      <c r="K37" s="1220">
        <v>0.54</v>
      </c>
      <c r="L37" s="653" t="str">
        <f t="shared" si="2"/>
        <v>401</v>
      </c>
      <c r="M37" s="654" t="str">
        <f t="shared" si="0"/>
        <v>UNITES NEUVES VENDUES JANVIER</v>
      </c>
      <c r="N37" s="655">
        <f>+IF(OR($Q37=Parametres!$G$2,$Q37=Parametres!$G$3),I37,C37)</f>
        <v>0.54</v>
      </c>
      <c r="O37" s="655">
        <f>+IF(OR($Q37=Parametres!$G$2,$Q37=Parametres!$G$3),J37,D37)</f>
        <v>0</v>
      </c>
      <c r="P37" s="655">
        <f>+IF(OR($Q37=Parametres!$G$2,$Q37=Parametres!$G$3),K37,E37)</f>
        <v>0.54</v>
      </c>
      <c r="Q37" s="654" t="str">
        <f t="shared" ref="Q37:S37" si="37">+F37</f>
        <v>1-Mémo</v>
      </c>
      <c r="R37" s="653" t="str">
        <f t="shared" si="37"/>
        <v>40</v>
      </c>
      <c r="S37" s="654" t="str">
        <f t="shared" si="37"/>
        <v>_</v>
      </c>
      <c r="T37" s="656" t="str">
        <f>+VLOOKUP($L37,Data_Validation!$A:$D,1,0)</f>
        <v>401</v>
      </c>
      <c r="U37" s="656">
        <f>+VLOOKUP($L37,Data_Validation!$A:$D,3,0)</f>
        <v>0</v>
      </c>
      <c r="V37" s="656">
        <f>+VLOOKUP($L37,Data_Validation!$A:$D,4,0)</f>
        <v>0</v>
      </c>
      <c r="W37" s="656">
        <f>+VLOOKUP($L37,Data_Validation!$A:$E,5,0)</f>
        <v>0</v>
      </c>
      <c r="X37" s="656">
        <f>+VLOOKUP($L37,Data_Validation!$A:$F,6,0)</f>
        <v>0</v>
      </c>
    </row>
    <row r="38" spans="1:24" ht="15" customHeight="1">
      <c r="A38" s="1218" t="s">
        <v>762</v>
      </c>
      <c r="B38" s="1218" t="s">
        <v>1815</v>
      </c>
      <c r="C38" s="1219"/>
      <c r="D38" s="1219"/>
      <c r="E38" s="1219"/>
      <c r="F38" s="1218" t="s">
        <v>2</v>
      </c>
      <c r="G38" s="1218" t="s">
        <v>761</v>
      </c>
      <c r="H38" s="1218" t="s">
        <v>3950</v>
      </c>
      <c r="I38" s="1220">
        <v>0.4</v>
      </c>
      <c r="J38" s="1220">
        <v>0</v>
      </c>
      <c r="K38" s="1220">
        <v>0.4</v>
      </c>
      <c r="L38" s="653" t="str">
        <f t="shared" si="2"/>
        <v>402</v>
      </c>
      <c r="M38" s="654" t="str">
        <f t="shared" si="0"/>
        <v>UNITES NEUVES VENDUES FEVRIER</v>
      </c>
      <c r="N38" s="655">
        <f>+IF(OR($Q38=Parametres!$G$2,$Q38=Parametres!$G$3),I38,C38)</f>
        <v>0.4</v>
      </c>
      <c r="O38" s="655">
        <f>+IF(OR($Q38=Parametres!$G$2,$Q38=Parametres!$G$3),J38,D38)</f>
        <v>0</v>
      </c>
      <c r="P38" s="655">
        <f>+IF(OR($Q38=Parametres!$G$2,$Q38=Parametres!$G$3),K38,E38)</f>
        <v>0.4</v>
      </c>
      <c r="Q38" s="654" t="str">
        <f t="shared" ref="Q38:S38" si="38">+F38</f>
        <v>1-Mémo</v>
      </c>
      <c r="R38" s="653" t="str">
        <f t="shared" si="38"/>
        <v>40</v>
      </c>
      <c r="S38" s="654" t="str">
        <f t="shared" si="38"/>
        <v>_</v>
      </c>
      <c r="T38" s="656" t="str">
        <f>+VLOOKUP($L38,Data_Validation!$A:$D,1,0)</f>
        <v>402</v>
      </c>
      <c r="U38" s="656">
        <f>+VLOOKUP($L38,Data_Validation!$A:$D,3,0)</f>
        <v>0</v>
      </c>
      <c r="V38" s="656">
        <f>+VLOOKUP($L38,Data_Validation!$A:$D,4,0)</f>
        <v>0</v>
      </c>
      <c r="W38" s="656">
        <f>+VLOOKUP($L38,Data_Validation!$A:$E,5,0)</f>
        <v>0</v>
      </c>
      <c r="X38" s="656">
        <f>+VLOOKUP($L38,Data_Validation!$A:$F,6,0)</f>
        <v>0</v>
      </c>
    </row>
    <row r="39" spans="1:24" ht="15" customHeight="1">
      <c r="A39" s="1218" t="s">
        <v>763</v>
      </c>
      <c r="B39" s="1218" t="s">
        <v>1818</v>
      </c>
      <c r="C39" s="1219"/>
      <c r="D39" s="1219"/>
      <c r="E39" s="1219"/>
      <c r="F39" s="1218" t="s">
        <v>2</v>
      </c>
      <c r="G39" s="1218" t="s">
        <v>761</v>
      </c>
      <c r="H39" s="1218" t="s">
        <v>3950</v>
      </c>
      <c r="I39" s="1220">
        <v>0.55000000000000004</v>
      </c>
      <c r="J39" s="1220">
        <v>0</v>
      </c>
      <c r="K39" s="1220">
        <v>0.55000000000000004</v>
      </c>
      <c r="L39" s="653" t="str">
        <f t="shared" si="2"/>
        <v>403</v>
      </c>
      <c r="M39" s="654" t="str">
        <f t="shared" si="0"/>
        <v>UNITES NEUVES VENDUES MARS</v>
      </c>
      <c r="N39" s="655">
        <f>+IF(OR($Q39=Parametres!$G$2,$Q39=Parametres!$G$3),I39,C39)</f>
        <v>0.55000000000000004</v>
      </c>
      <c r="O39" s="659">
        <f>+IF(OR($Q39=Parametres!$G$2,$Q39=Parametres!$G$3),J39,D39)</f>
        <v>0</v>
      </c>
      <c r="P39" s="655">
        <f>+IF(OR($Q39=Parametres!$G$2,$Q39=Parametres!$G$3),K39,E39)</f>
        <v>0.55000000000000004</v>
      </c>
      <c r="Q39" s="654" t="str">
        <f t="shared" ref="Q39:S39" si="39">+F39</f>
        <v>1-Mémo</v>
      </c>
      <c r="R39" s="653" t="str">
        <f t="shared" si="39"/>
        <v>40</v>
      </c>
      <c r="S39" s="654" t="str">
        <f t="shared" si="39"/>
        <v>_</v>
      </c>
      <c r="T39" s="656" t="str">
        <f>+VLOOKUP($L39,Data_Validation!$A:$D,1,0)</f>
        <v>403</v>
      </c>
      <c r="U39" s="656">
        <f>+VLOOKUP($L39,Data_Validation!$A:$D,3,0)</f>
        <v>0</v>
      </c>
      <c r="V39" s="656">
        <f>+VLOOKUP($L39,Data_Validation!$A:$D,4,0)</f>
        <v>0</v>
      </c>
      <c r="W39" s="656">
        <f>+VLOOKUP($L39,Data_Validation!$A:$E,5,0)</f>
        <v>0</v>
      </c>
      <c r="X39" s="656">
        <f>+VLOOKUP($L39,Data_Validation!$A:$F,6,0)</f>
        <v>0</v>
      </c>
    </row>
    <row r="40" spans="1:24" ht="15.75" customHeight="1">
      <c r="A40" s="1218" t="s">
        <v>764</v>
      </c>
      <c r="B40" s="1218" t="s">
        <v>1821</v>
      </c>
      <c r="C40" s="1219"/>
      <c r="D40" s="1219"/>
      <c r="E40" s="1219"/>
      <c r="F40" s="1218" t="s">
        <v>2</v>
      </c>
      <c r="G40" s="1218" t="s">
        <v>761</v>
      </c>
      <c r="H40" s="1218" t="s">
        <v>3950</v>
      </c>
      <c r="I40" s="1220">
        <v>0.57999999999999996</v>
      </c>
      <c r="J40" s="1220">
        <v>0</v>
      </c>
      <c r="K40" s="1220">
        <v>0.57999999999999996</v>
      </c>
      <c r="L40" s="653" t="str">
        <f t="shared" si="2"/>
        <v>404</v>
      </c>
      <c r="M40" s="654" t="str">
        <f t="shared" si="0"/>
        <v>UNITES NEUVES VENDUES AVRIL</v>
      </c>
      <c r="N40" s="655">
        <f>+IF(OR($Q40=Parametres!$G$2,$Q40=Parametres!$G$3),I40,C40)</f>
        <v>0.57999999999999996</v>
      </c>
      <c r="O40" s="655">
        <f>+IF(OR($Q40=Parametres!$G$2,$Q40=Parametres!$G$3),J40,D40)</f>
        <v>0</v>
      </c>
      <c r="P40" s="655">
        <f>+IF(OR($Q40=Parametres!$G$2,$Q40=Parametres!$G$3),K40,E40)</f>
        <v>0.57999999999999996</v>
      </c>
      <c r="Q40" s="654" t="str">
        <f t="shared" ref="Q40:S40" si="40">+F40</f>
        <v>1-Mémo</v>
      </c>
      <c r="R40" s="653" t="str">
        <f t="shared" si="40"/>
        <v>40</v>
      </c>
      <c r="S40" s="654" t="str">
        <f t="shared" si="40"/>
        <v>_</v>
      </c>
      <c r="T40" s="656" t="str">
        <f>+VLOOKUP($L40,Data_Validation!$A:$D,1,0)</f>
        <v>404</v>
      </c>
      <c r="U40" s="656">
        <f>+VLOOKUP($L40,Data_Validation!$A:$D,3,0)</f>
        <v>0</v>
      </c>
      <c r="V40" s="656">
        <f>+VLOOKUP($L40,Data_Validation!$A:$D,4,0)</f>
        <v>0</v>
      </c>
      <c r="W40" s="656">
        <f>+VLOOKUP($L40,Data_Validation!$A:$E,5,0)</f>
        <v>0</v>
      </c>
      <c r="X40" s="656">
        <f>+VLOOKUP($L40,Data_Validation!$A:$F,6,0)</f>
        <v>0</v>
      </c>
    </row>
    <row r="41" spans="1:24" ht="15" customHeight="1">
      <c r="A41" s="1218" t="s">
        <v>765</v>
      </c>
      <c r="B41" s="1218" t="s">
        <v>1824</v>
      </c>
      <c r="C41" s="1219"/>
      <c r="D41" s="1219"/>
      <c r="E41" s="1219"/>
      <c r="F41" s="1218" t="s">
        <v>2</v>
      </c>
      <c r="G41" s="1218" t="s">
        <v>761</v>
      </c>
      <c r="H41" s="1218" t="s">
        <v>3950</v>
      </c>
      <c r="I41" s="1220">
        <v>0.56999999999999995</v>
      </c>
      <c r="J41" s="1220">
        <v>0</v>
      </c>
      <c r="K41" s="1220">
        <v>0.56999999999999995</v>
      </c>
      <c r="L41" s="653" t="str">
        <f t="shared" si="2"/>
        <v>405</v>
      </c>
      <c r="M41" s="654" t="str">
        <f t="shared" si="0"/>
        <v>UNITES NEUVES VENDUES MAI</v>
      </c>
      <c r="N41" s="655">
        <f>+IF(OR($Q41=Parametres!$G$2,$Q41=Parametres!$G$3),I41,C41)</f>
        <v>0.56999999999999995</v>
      </c>
      <c r="O41" s="659">
        <f>+IF(OR($Q41=Parametres!$G$2,$Q41=Parametres!$G$3),J41,D41)</f>
        <v>0</v>
      </c>
      <c r="P41" s="655">
        <f>+IF(OR($Q41=Parametres!$G$2,$Q41=Parametres!$G$3),K41,E41)</f>
        <v>0.56999999999999995</v>
      </c>
      <c r="Q41" s="654" t="str">
        <f t="shared" ref="Q41:S41" si="41">+F41</f>
        <v>1-Mémo</v>
      </c>
      <c r="R41" s="653" t="str">
        <f t="shared" si="41"/>
        <v>40</v>
      </c>
      <c r="S41" s="654" t="str">
        <f t="shared" si="41"/>
        <v>_</v>
      </c>
      <c r="T41" s="656" t="str">
        <f>+VLOOKUP($L41,Data_Validation!$A:$D,1,0)</f>
        <v>405</v>
      </c>
      <c r="U41" s="656">
        <f>+VLOOKUP($L41,Data_Validation!$A:$D,3,0)</f>
        <v>0</v>
      </c>
      <c r="V41" s="656">
        <f>+VLOOKUP($L41,Data_Validation!$A:$D,4,0)</f>
        <v>0</v>
      </c>
      <c r="W41" s="656">
        <f>+VLOOKUP($L41,Data_Validation!$A:$E,5,0)</f>
        <v>0</v>
      </c>
      <c r="X41" s="656">
        <f>+VLOOKUP($L41,Data_Validation!$A:$F,6,0)</f>
        <v>0</v>
      </c>
    </row>
    <row r="42" spans="1:24" ht="15" customHeight="1">
      <c r="A42" s="1218" t="s">
        <v>766</v>
      </c>
      <c r="B42" s="1218" t="s">
        <v>1827</v>
      </c>
      <c r="C42" s="1219"/>
      <c r="D42" s="1219"/>
      <c r="E42" s="1219"/>
      <c r="F42" s="1218" t="s">
        <v>2</v>
      </c>
      <c r="G42" s="1218" t="s">
        <v>761</v>
      </c>
      <c r="H42" s="1218" t="s">
        <v>3950</v>
      </c>
      <c r="I42" s="1220">
        <v>0.47</v>
      </c>
      <c r="J42" s="1220">
        <v>0</v>
      </c>
      <c r="K42" s="1220">
        <v>0.47</v>
      </c>
      <c r="L42" s="653" t="str">
        <f t="shared" si="2"/>
        <v>406</v>
      </c>
      <c r="M42" s="654" t="str">
        <f t="shared" si="0"/>
        <v>UNITES NEUVES VENDUES JUIN</v>
      </c>
      <c r="N42" s="655">
        <f>+IF(OR($Q42=Parametres!$G$2,$Q42=Parametres!$G$3),I42,C42)</f>
        <v>0.47</v>
      </c>
      <c r="O42" s="655">
        <f>+IF(OR($Q42=Parametres!$G$2,$Q42=Parametres!$G$3),J42,D42)</f>
        <v>0</v>
      </c>
      <c r="P42" s="655">
        <f>+IF(OR($Q42=Parametres!$G$2,$Q42=Parametres!$G$3),K42,E42)</f>
        <v>0.47</v>
      </c>
      <c r="Q42" s="654" t="str">
        <f t="shared" ref="Q42:S42" si="42">+F42</f>
        <v>1-Mémo</v>
      </c>
      <c r="R42" s="653" t="str">
        <f t="shared" si="42"/>
        <v>40</v>
      </c>
      <c r="S42" s="654" t="str">
        <f t="shared" si="42"/>
        <v>_</v>
      </c>
      <c r="T42" s="656" t="str">
        <f>+VLOOKUP($L42,Data_Validation!$A:$D,1,0)</f>
        <v>406</v>
      </c>
      <c r="U42" s="656">
        <f>+VLOOKUP($L42,Data_Validation!$A:$D,3,0)</f>
        <v>0</v>
      </c>
      <c r="V42" s="656">
        <f>+VLOOKUP($L42,Data_Validation!$A:$D,4,0)</f>
        <v>0</v>
      </c>
      <c r="W42" s="656">
        <f>+VLOOKUP($L42,Data_Validation!$A:$E,5,0)</f>
        <v>0</v>
      </c>
      <c r="X42" s="656">
        <f>+VLOOKUP($L42,Data_Validation!$A:$F,6,0)</f>
        <v>0</v>
      </c>
    </row>
    <row r="43" spans="1:24" ht="15" customHeight="1">
      <c r="A43" s="1218" t="s">
        <v>773</v>
      </c>
      <c r="B43" s="1218" t="s">
        <v>1905</v>
      </c>
      <c r="C43" s="1219"/>
      <c r="D43" s="1219"/>
      <c r="E43" s="1219"/>
      <c r="F43" s="1218" t="s">
        <v>2</v>
      </c>
      <c r="G43" s="1218" t="s">
        <v>3329</v>
      </c>
      <c r="H43" s="1218" t="s">
        <v>3950</v>
      </c>
      <c r="I43" s="1220">
        <v>0.24</v>
      </c>
      <c r="J43" s="1220">
        <v>0</v>
      </c>
      <c r="K43" s="1220">
        <v>0.24</v>
      </c>
      <c r="L43" s="653" t="str">
        <f t="shared" si="2"/>
        <v>421</v>
      </c>
      <c r="M43" s="654" t="str">
        <f t="shared" si="0"/>
        <v>UNITES USAGES DET./ JANV.</v>
      </c>
      <c r="N43" s="655">
        <f>+IF(OR($Q43=Parametres!$G$2,$Q43=Parametres!$G$3),I43,C43)</f>
        <v>0.24</v>
      </c>
      <c r="O43" s="655">
        <f>+IF(OR($Q43=Parametres!$G$2,$Q43=Parametres!$G$3),J43,D43)</f>
        <v>0</v>
      </c>
      <c r="P43" s="655">
        <f>+IF(OR($Q43=Parametres!$G$2,$Q43=Parametres!$G$3),K43,E43)</f>
        <v>0.24</v>
      </c>
      <c r="Q43" s="654" t="str">
        <f t="shared" ref="Q43:S43" si="43">+F43</f>
        <v>1-Mémo</v>
      </c>
      <c r="R43" s="653" t="str">
        <f t="shared" si="43"/>
        <v>42</v>
      </c>
      <c r="S43" s="654" t="str">
        <f t="shared" si="43"/>
        <v>_</v>
      </c>
      <c r="T43" s="656" t="str">
        <f>+VLOOKUP($L43,Data_Validation!$A:$D,1,0)</f>
        <v>421</v>
      </c>
      <c r="U43" s="656">
        <f>+VLOOKUP($L43,Data_Validation!$A:$D,3,0)</f>
        <v>0</v>
      </c>
      <c r="V43" s="656">
        <f>+VLOOKUP($L43,Data_Validation!$A:$D,4,0)</f>
        <v>0</v>
      </c>
      <c r="W43" s="656">
        <f>+VLOOKUP($L43,Data_Validation!$A:$E,5,0)</f>
        <v>0</v>
      </c>
      <c r="X43" s="656">
        <f>+VLOOKUP($L43,Data_Validation!$A:$F,6,0)</f>
        <v>0</v>
      </c>
    </row>
    <row r="44" spans="1:24" ht="15.75" customHeight="1">
      <c r="A44" s="1218" t="s">
        <v>774</v>
      </c>
      <c r="B44" s="1218" t="s">
        <v>1912</v>
      </c>
      <c r="C44" s="1219"/>
      <c r="D44" s="1219"/>
      <c r="E44" s="1219"/>
      <c r="F44" s="1218" t="s">
        <v>2</v>
      </c>
      <c r="G44" s="1218" t="s">
        <v>3329</v>
      </c>
      <c r="H44" s="1218" t="s">
        <v>3950</v>
      </c>
      <c r="I44" s="1220">
        <v>0.17</v>
      </c>
      <c r="J44" s="1220">
        <v>0</v>
      </c>
      <c r="K44" s="1220">
        <v>0.17</v>
      </c>
      <c r="L44" s="653" t="str">
        <f t="shared" si="2"/>
        <v>422</v>
      </c>
      <c r="M44" s="654" t="str">
        <f t="shared" si="0"/>
        <v>UNITES USAGES DET./ FEVR.</v>
      </c>
      <c r="N44" s="655">
        <f>+IF(OR($Q44=Parametres!$G$2,$Q44=Parametres!$G$3),I44,C44)</f>
        <v>0.17</v>
      </c>
      <c r="O44" s="655">
        <f>+IF(OR($Q44=Parametres!$G$2,$Q44=Parametres!$G$3),J44,D44)</f>
        <v>0</v>
      </c>
      <c r="P44" s="655">
        <f>+IF(OR($Q44=Parametres!$G$2,$Q44=Parametres!$G$3),K44,E44)</f>
        <v>0.17</v>
      </c>
      <c r="Q44" s="654" t="str">
        <f t="shared" ref="Q44:S44" si="44">+F44</f>
        <v>1-Mémo</v>
      </c>
      <c r="R44" s="653" t="str">
        <f t="shared" si="44"/>
        <v>42</v>
      </c>
      <c r="S44" s="654" t="str">
        <f t="shared" si="44"/>
        <v>_</v>
      </c>
      <c r="T44" s="656" t="str">
        <f>+VLOOKUP($L44,Data_Validation!$A:$D,1,0)</f>
        <v>422</v>
      </c>
      <c r="U44" s="656">
        <f>+VLOOKUP($L44,Data_Validation!$A:$D,3,0)</f>
        <v>0</v>
      </c>
      <c r="V44" s="656">
        <f>+VLOOKUP($L44,Data_Validation!$A:$D,4,0)</f>
        <v>0</v>
      </c>
      <c r="W44" s="656">
        <f>+VLOOKUP($L44,Data_Validation!$A:$E,5,0)</f>
        <v>0</v>
      </c>
      <c r="X44" s="656">
        <f>+VLOOKUP($L44,Data_Validation!$A:$F,6,0)</f>
        <v>0</v>
      </c>
    </row>
    <row r="45" spans="1:24" ht="15" customHeight="1">
      <c r="A45" s="1218" t="s">
        <v>775</v>
      </c>
      <c r="B45" s="1218" t="s">
        <v>1915</v>
      </c>
      <c r="C45" s="1219"/>
      <c r="D45" s="1219"/>
      <c r="E45" s="1219"/>
      <c r="F45" s="1218" t="s">
        <v>2</v>
      </c>
      <c r="G45" s="1218" t="s">
        <v>3329</v>
      </c>
      <c r="H45" s="1218" t="s">
        <v>3950</v>
      </c>
      <c r="I45" s="1220">
        <v>0.3</v>
      </c>
      <c r="J45" s="1220">
        <v>0</v>
      </c>
      <c r="K45" s="1220">
        <v>0.3</v>
      </c>
      <c r="L45" s="653" t="str">
        <f t="shared" si="2"/>
        <v>423</v>
      </c>
      <c r="M45" s="654" t="str">
        <f t="shared" si="0"/>
        <v>UNITES USAGES DET./ MARS</v>
      </c>
      <c r="N45" s="655">
        <f>+IF(OR($Q45=Parametres!$G$2,$Q45=Parametres!$G$3),I45,C45)</f>
        <v>0.3</v>
      </c>
      <c r="O45" s="1154">
        <f>+IF(OR($Q45=Parametres!$G$2,$Q45=Parametres!$G$3),J45,D45)</f>
        <v>0</v>
      </c>
      <c r="P45" s="655">
        <f>+IF(OR($Q45=Parametres!$G$2,$Q45=Parametres!$G$3),K45,E45)</f>
        <v>0.3</v>
      </c>
      <c r="Q45" s="654" t="str">
        <f t="shared" ref="Q45:S45" si="45">+F45</f>
        <v>1-Mémo</v>
      </c>
      <c r="R45" s="653" t="str">
        <f t="shared" si="45"/>
        <v>42</v>
      </c>
      <c r="S45" s="654" t="str">
        <f t="shared" si="45"/>
        <v>_</v>
      </c>
      <c r="T45" s="656" t="str">
        <f>+VLOOKUP($L45,Data_Validation!$A:$D,1,0)</f>
        <v>423</v>
      </c>
      <c r="U45" s="656">
        <f>+VLOOKUP($L45,Data_Validation!$A:$D,3,0)</f>
        <v>0</v>
      </c>
      <c r="V45" s="656">
        <f>+VLOOKUP($L45,Data_Validation!$A:$D,4,0)</f>
        <v>0</v>
      </c>
      <c r="W45" s="656">
        <f>+VLOOKUP($L45,Data_Validation!$A:$E,5,0)</f>
        <v>0</v>
      </c>
      <c r="X45" s="656">
        <f>+VLOOKUP($L45,Data_Validation!$A:$F,6,0)</f>
        <v>0</v>
      </c>
    </row>
    <row r="46" spans="1:24" ht="15" customHeight="1">
      <c r="A46" s="1218" t="s">
        <v>776</v>
      </c>
      <c r="B46" s="1218" t="s">
        <v>1918</v>
      </c>
      <c r="C46" s="1219"/>
      <c r="D46" s="1219"/>
      <c r="E46" s="1219"/>
      <c r="F46" s="1218" t="s">
        <v>2</v>
      </c>
      <c r="G46" s="1218" t="s">
        <v>3329</v>
      </c>
      <c r="H46" s="1218" t="s">
        <v>3950</v>
      </c>
      <c r="I46" s="1220">
        <v>0.3</v>
      </c>
      <c r="J46" s="1220">
        <v>0</v>
      </c>
      <c r="K46" s="1220">
        <v>0.3</v>
      </c>
      <c r="L46" s="653" t="str">
        <f t="shared" si="2"/>
        <v>424</v>
      </c>
      <c r="M46" s="654" t="str">
        <f t="shared" si="0"/>
        <v>UNITES USAGES DET./ AVRIL</v>
      </c>
      <c r="N46" s="655">
        <f>+IF(OR($Q46=Parametres!$G$2,$Q46=Parametres!$G$3),I46,C46)</f>
        <v>0.3</v>
      </c>
      <c r="O46" s="1154">
        <f>+IF(OR($Q46=Parametres!$G$2,$Q46=Parametres!$G$3),J46,D46)</f>
        <v>0</v>
      </c>
      <c r="P46" s="655">
        <f>+IF(OR($Q46=Parametres!$G$2,$Q46=Parametres!$G$3),K46,E46)</f>
        <v>0.3</v>
      </c>
      <c r="Q46" s="654" t="str">
        <f t="shared" ref="Q46:S46" si="46">+F46</f>
        <v>1-Mémo</v>
      </c>
      <c r="R46" s="653" t="str">
        <f t="shared" si="46"/>
        <v>42</v>
      </c>
      <c r="S46" s="654" t="str">
        <f t="shared" si="46"/>
        <v>_</v>
      </c>
      <c r="T46" s="656" t="str">
        <f>+VLOOKUP($L46,Data_Validation!$A:$D,1,0)</f>
        <v>424</v>
      </c>
      <c r="U46" s="656">
        <f>+VLOOKUP($L46,Data_Validation!$A:$D,3,0)</f>
        <v>0</v>
      </c>
      <c r="V46" s="656">
        <f>+VLOOKUP($L46,Data_Validation!$A:$D,4,0)</f>
        <v>0</v>
      </c>
      <c r="W46" s="656">
        <f>+VLOOKUP($L46,Data_Validation!$A:$E,5,0)</f>
        <v>0</v>
      </c>
      <c r="X46" s="656">
        <f>+VLOOKUP($L46,Data_Validation!$A:$F,6,0)</f>
        <v>0</v>
      </c>
    </row>
    <row r="47" spans="1:24" ht="15" customHeight="1">
      <c r="A47" s="1218" t="s">
        <v>777</v>
      </c>
      <c r="B47" s="1218" t="s">
        <v>1921</v>
      </c>
      <c r="C47" s="1219"/>
      <c r="D47" s="1219"/>
      <c r="E47" s="1219"/>
      <c r="F47" s="1218" t="s">
        <v>2</v>
      </c>
      <c r="G47" s="1218" t="s">
        <v>3329</v>
      </c>
      <c r="H47" s="1218" t="s">
        <v>3950</v>
      </c>
      <c r="I47" s="1220">
        <v>0.3</v>
      </c>
      <c r="J47" s="1220">
        <v>0</v>
      </c>
      <c r="K47" s="1220">
        <v>0.3</v>
      </c>
      <c r="L47" s="653" t="str">
        <f t="shared" si="2"/>
        <v>425</v>
      </c>
      <c r="M47" s="654" t="str">
        <f t="shared" si="0"/>
        <v>UNITES USAGES DET./ MAI</v>
      </c>
      <c r="N47" s="655">
        <f>+IF(OR($Q47=Parametres!$G$2,$Q47=Parametres!$G$3),I47,C47)</f>
        <v>0.3</v>
      </c>
      <c r="O47" s="655">
        <f>+IF(OR($Q47=Parametres!$G$2,$Q47=Parametres!$G$3),J47,D47)</f>
        <v>0</v>
      </c>
      <c r="P47" s="655">
        <f>+IF(OR($Q47=Parametres!$G$2,$Q47=Parametres!$G$3),K47,E47)</f>
        <v>0.3</v>
      </c>
      <c r="Q47" s="654" t="str">
        <f t="shared" ref="Q47:S47" si="47">+F47</f>
        <v>1-Mémo</v>
      </c>
      <c r="R47" s="653" t="str">
        <f t="shared" si="47"/>
        <v>42</v>
      </c>
      <c r="S47" s="654" t="str">
        <f t="shared" si="47"/>
        <v>_</v>
      </c>
      <c r="T47" s="656" t="str">
        <f>+VLOOKUP($L47,Data_Validation!$A:$D,1,0)</f>
        <v>425</v>
      </c>
      <c r="U47" s="656">
        <f>+VLOOKUP($L47,Data_Validation!$A:$D,3,0)</f>
        <v>0</v>
      </c>
      <c r="V47" s="656">
        <f>+VLOOKUP($L47,Data_Validation!$A:$D,4,0)</f>
        <v>0</v>
      </c>
      <c r="W47" s="656">
        <f>+VLOOKUP($L47,Data_Validation!$A:$E,5,0)</f>
        <v>0</v>
      </c>
      <c r="X47" s="656">
        <f>+VLOOKUP($L47,Data_Validation!$A:$F,6,0)</f>
        <v>0</v>
      </c>
    </row>
    <row r="48" spans="1:24" ht="15.75" customHeight="1">
      <c r="A48" s="1218" t="s">
        <v>778</v>
      </c>
      <c r="B48" s="1218" t="s">
        <v>1924</v>
      </c>
      <c r="C48" s="1219"/>
      <c r="D48" s="1219"/>
      <c r="E48" s="1219"/>
      <c r="F48" s="1218" t="s">
        <v>2</v>
      </c>
      <c r="G48" s="1218" t="s">
        <v>3329</v>
      </c>
      <c r="H48" s="1218" t="s">
        <v>3950</v>
      </c>
      <c r="I48" s="1220">
        <v>0.3</v>
      </c>
      <c r="J48" s="1220">
        <v>0</v>
      </c>
      <c r="K48" s="1220">
        <v>0.3</v>
      </c>
      <c r="L48" s="653" t="str">
        <f t="shared" si="2"/>
        <v>426</v>
      </c>
      <c r="M48" s="654" t="str">
        <f t="shared" si="0"/>
        <v>UNITES USAGES DET./ JUIN</v>
      </c>
      <c r="N48" s="655">
        <f>+IF(OR($Q48=Parametres!$G$2,$Q48=Parametres!$G$3),I48,C48)</f>
        <v>0.3</v>
      </c>
      <c r="O48" s="655">
        <f>+IF(OR($Q48=Parametres!$G$2,$Q48=Parametres!$G$3),J48,D48)</f>
        <v>0</v>
      </c>
      <c r="P48" s="655">
        <f>+IF(OR($Q48=Parametres!$G$2,$Q48=Parametres!$G$3),K48,E48)</f>
        <v>0.3</v>
      </c>
      <c r="Q48" s="654" t="str">
        <f t="shared" ref="Q48:S48" si="48">+F48</f>
        <v>1-Mémo</v>
      </c>
      <c r="R48" s="653" t="str">
        <f t="shared" si="48"/>
        <v>42</v>
      </c>
      <c r="S48" s="654" t="str">
        <f t="shared" si="48"/>
        <v>_</v>
      </c>
      <c r="T48" s="656" t="str">
        <f>+VLOOKUP($L48,Data_Validation!$A:$D,1,0)</f>
        <v>426</v>
      </c>
      <c r="U48" s="656">
        <f>+VLOOKUP($L48,Data_Validation!$A:$D,3,0)</f>
        <v>0</v>
      </c>
      <c r="V48" s="656">
        <f>+VLOOKUP($L48,Data_Validation!$A:$D,4,0)</f>
        <v>0</v>
      </c>
      <c r="W48" s="656">
        <f>+VLOOKUP($L48,Data_Validation!$A:$E,5,0)</f>
        <v>0</v>
      </c>
      <c r="X48" s="656">
        <f>+VLOOKUP($L48,Data_Validation!$A:$F,6,0)</f>
        <v>0</v>
      </c>
    </row>
    <row r="49" spans="1:24" ht="15" customHeight="1">
      <c r="A49" s="1218" t="s">
        <v>784</v>
      </c>
      <c r="B49" s="1218" t="s">
        <v>2055</v>
      </c>
      <c r="C49" s="1219"/>
      <c r="D49" s="1219"/>
      <c r="E49" s="1219"/>
      <c r="F49" s="1218" t="s">
        <v>2</v>
      </c>
      <c r="G49" s="1218" t="s">
        <v>785</v>
      </c>
      <c r="H49" s="1218" t="s">
        <v>3950</v>
      </c>
      <c r="I49" s="1220">
        <v>1</v>
      </c>
      <c r="J49" s="1220">
        <v>0</v>
      </c>
      <c r="K49" s="1220">
        <v>1</v>
      </c>
      <c r="L49" s="653" t="str">
        <f t="shared" si="2"/>
        <v>500</v>
      </c>
      <c r="M49" s="654" t="str">
        <f t="shared" si="0"/>
        <v>PROPRIETAIRES</v>
      </c>
      <c r="N49" s="655">
        <f>+IF(OR($Q49=Parametres!$G$2,$Q49=Parametres!$G$3),I49,C49)</f>
        <v>1</v>
      </c>
      <c r="O49" s="659">
        <f>+IF(OR($Q49=Parametres!$G$2,$Q49=Parametres!$G$3),J49,D49)</f>
        <v>0</v>
      </c>
      <c r="P49" s="655">
        <f>+IF(OR($Q49=Parametres!$G$2,$Q49=Parametres!$G$3),K49,E49)</f>
        <v>1</v>
      </c>
      <c r="Q49" s="654" t="str">
        <f t="shared" ref="Q49:S49" si="49">+F49</f>
        <v>1-Mémo</v>
      </c>
      <c r="R49" s="653" t="str">
        <f t="shared" si="49"/>
        <v>50</v>
      </c>
      <c r="S49" s="654" t="str">
        <f t="shared" si="49"/>
        <v>_</v>
      </c>
      <c r="T49" s="656" t="str">
        <f>+VLOOKUP($L49,Data_Validation!$A:$D,1,0)</f>
        <v>500</v>
      </c>
      <c r="U49" s="656">
        <f>+VLOOKUP($L49,Data_Validation!$A:$D,3,0)</f>
        <v>0</v>
      </c>
      <c r="V49" s="656">
        <f>+VLOOKUP($L49,Data_Validation!$A:$D,4,0)</f>
        <v>0</v>
      </c>
      <c r="W49" s="656" t="str">
        <f>+VLOOKUP($L49,Data_Validation!$A:$E,5,0)</f>
        <v>$</v>
      </c>
      <c r="X49" s="656">
        <f>+VLOOKUP($L49,Data_Validation!$A:$F,6,0)</f>
        <v>0</v>
      </c>
    </row>
    <row r="50" spans="1:24" ht="15" customHeight="1">
      <c r="A50" s="1218" t="s">
        <v>786</v>
      </c>
      <c r="B50" s="1218" t="s">
        <v>1113</v>
      </c>
      <c r="C50" s="1219"/>
      <c r="D50" s="1219"/>
      <c r="E50" s="1219"/>
      <c r="F50" s="1218" t="s">
        <v>2</v>
      </c>
      <c r="G50" s="1218" t="s">
        <v>785</v>
      </c>
      <c r="H50" s="1218" t="s">
        <v>3950</v>
      </c>
      <c r="I50" s="1220">
        <v>0.5</v>
      </c>
      <c r="J50" s="1220">
        <v>0</v>
      </c>
      <c r="K50" s="1220">
        <v>0.5</v>
      </c>
      <c r="L50" s="653" t="str">
        <f t="shared" si="2"/>
        <v>511</v>
      </c>
      <c r="M50" s="654" t="str">
        <f t="shared" si="0"/>
        <v>DIR. GENERAL NEUFS</v>
      </c>
      <c r="N50" s="655">
        <f>+IF(OR($Q50=Parametres!$G$2,$Q50=Parametres!$G$3),I50,C50)</f>
        <v>0.5</v>
      </c>
      <c r="O50" s="655">
        <f>+IF(OR($Q50=Parametres!$G$2,$Q50=Parametres!$G$3),J50,D50)</f>
        <v>0</v>
      </c>
      <c r="P50" s="655">
        <f>+IF(OR($Q50=Parametres!$G$2,$Q50=Parametres!$G$3),K50,E50)</f>
        <v>0.5</v>
      </c>
      <c r="Q50" s="654" t="str">
        <f t="shared" ref="Q50:S50" si="50">+F50</f>
        <v>1-Mémo</v>
      </c>
      <c r="R50" s="653" t="str">
        <f t="shared" si="50"/>
        <v>50</v>
      </c>
      <c r="S50" s="654" t="str">
        <f t="shared" si="50"/>
        <v>_</v>
      </c>
      <c r="T50" s="656" t="str">
        <f>+VLOOKUP($L50,Data_Validation!$A:$D,1,0)</f>
        <v>511</v>
      </c>
      <c r="U50" s="656">
        <f>+VLOOKUP($L50,Data_Validation!$A:$D,3,0)</f>
        <v>0</v>
      </c>
      <c r="V50" s="656">
        <f>+VLOOKUP($L50,Data_Validation!$A:$D,4,0)</f>
        <v>0</v>
      </c>
      <c r="W50" s="656" t="str">
        <f>+VLOOKUP($L50,Data_Validation!$A:$E,5,0)</f>
        <v>$</v>
      </c>
      <c r="X50" s="656">
        <f>+VLOOKUP($L50,Data_Validation!$A:$F,6,0)</f>
        <v>0</v>
      </c>
    </row>
    <row r="51" spans="1:24" ht="15" customHeight="1">
      <c r="A51" s="1218" t="s">
        <v>787</v>
      </c>
      <c r="B51" s="1218" t="s">
        <v>2087</v>
      </c>
      <c r="C51" s="1219"/>
      <c r="D51" s="1219"/>
      <c r="E51" s="1219"/>
      <c r="F51" s="1218" t="s">
        <v>2</v>
      </c>
      <c r="G51" s="1218" t="s">
        <v>785</v>
      </c>
      <c r="H51" s="1218" t="s">
        <v>3950</v>
      </c>
      <c r="I51" s="1220">
        <v>0.5</v>
      </c>
      <c r="J51" s="1220">
        <v>0</v>
      </c>
      <c r="K51" s="1220">
        <v>0.5</v>
      </c>
      <c r="L51" s="653" t="str">
        <f t="shared" si="2"/>
        <v>512</v>
      </c>
      <c r="M51" s="654" t="str">
        <f t="shared" si="0"/>
        <v>DIR. GENERAL USAGES</v>
      </c>
      <c r="N51" s="655">
        <f>+IF(OR($Q51=Parametres!$G$2,$Q51=Parametres!$G$3),I51,C51)</f>
        <v>0.5</v>
      </c>
      <c r="O51" s="655">
        <f>+IF(OR($Q51=Parametres!$G$2,$Q51=Parametres!$G$3),J51,D51)</f>
        <v>0</v>
      </c>
      <c r="P51" s="655">
        <f>+IF(OR($Q51=Parametres!$G$2,$Q51=Parametres!$G$3),K51,E51)</f>
        <v>0.5</v>
      </c>
      <c r="Q51" s="654" t="str">
        <f t="shared" ref="Q51:S51" si="51">+F51</f>
        <v>1-Mémo</v>
      </c>
      <c r="R51" s="653" t="str">
        <f t="shared" si="51"/>
        <v>50</v>
      </c>
      <c r="S51" s="654" t="str">
        <f t="shared" si="51"/>
        <v>_</v>
      </c>
      <c r="T51" s="656" t="str">
        <f>+VLOOKUP($L51,Data_Validation!$A:$D,1,0)</f>
        <v>512</v>
      </c>
      <c r="U51" s="656">
        <f>+VLOOKUP($L51,Data_Validation!$A:$D,3,0)</f>
        <v>0</v>
      </c>
      <c r="V51" s="656">
        <f>+VLOOKUP($L51,Data_Validation!$A:$D,4,0)</f>
        <v>0</v>
      </c>
      <c r="W51" s="656" t="str">
        <f>+VLOOKUP($L51,Data_Validation!$A:$E,5,0)</f>
        <v>$</v>
      </c>
      <c r="X51" s="656">
        <f>+VLOOKUP($L51,Data_Validation!$A:$F,6,0)</f>
        <v>0</v>
      </c>
    </row>
    <row r="52" spans="1:24" ht="15.75" customHeight="1">
      <c r="A52" s="1218" t="s">
        <v>788</v>
      </c>
      <c r="B52" s="1218" t="s">
        <v>1120</v>
      </c>
      <c r="C52" s="1219"/>
      <c r="D52" s="1219"/>
      <c r="E52" s="1219"/>
      <c r="F52" s="1218" t="s">
        <v>2</v>
      </c>
      <c r="G52" s="1218" t="s">
        <v>785</v>
      </c>
      <c r="H52" s="1218" t="s">
        <v>3950</v>
      </c>
      <c r="I52" s="1220">
        <v>0.5</v>
      </c>
      <c r="J52" s="1220">
        <v>0</v>
      </c>
      <c r="K52" s="1220">
        <v>0.5</v>
      </c>
      <c r="L52" s="653" t="str">
        <f t="shared" si="2"/>
        <v>514</v>
      </c>
      <c r="M52" s="654" t="str">
        <f t="shared" si="0"/>
        <v>DIR. GENERAL SERVICE</v>
      </c>
      <c r="N52" s="655">
        <f>+IF(OR($Q52=Parametres!$G$2,$Q52=Parametres!$G$3),I52,C52)</f>
        <v>0.5</v>
      </c>
      <c r="O52" s="655">
        <f>+IF(OR($Q52=Parametres!$G$2,$Q52=Parametres!$G$3),J52,D52)</f>
        <v>0</v>
      </c>
      <c r="P52" s="655">
        <f>+IF(OR($Q52=Parametres!$G$2,$Q52=Parametres!$G$3),K52,E52)</f>
        <v>0.5</v>
      </c>
      <c r="Q52" s="654" t="str">
        <f t="shared" ref="Q52:S52" si="52">+F52</f>
        <v>1-Mémo</v>
      </c>
      <c r="R52" s="653" t="str">
        <f t="shared" si="52"/>
        <v>50</v>
      </c>
      <c r="S52" s="654" t="str">
        <f t="shared" si="52"/>
        <v>_</v>
      </c>
      <c r="T52" s="656" t="str">
        <f>+VLOOKUP($L52,Data_Validation!$A:$D,1,0)</f>
        <v>514</v>
      </c>
      <c r="U52" s="656">
        <f>+VLOOKUP($L52,Data_Validation!$A:$D,3,0)</f>
        <v>0</v>
      </c>
      <c r="V52" s="656">
        <f>+VLOOKUP($L52,Data_Validation!$A:$D,4,0)</f>
        <v>0</v>
      </c>
      <c r="W52" s="656" t="str">
        <f>+VLOOKUP($L52,Data_Validation!$A:$E,5,0)</f>
        <v>$</v>
      </c>
      <c r="X52" s="656">
        <f>+VLOOKUP($L52,Data_Validation!$A:$F,6,0)</f>
        <v>0</v>
      </c>
    </row>
    <row r="53" spans="1:24" ht="15" customHeight="1">
      <c r="A53" s="1218" t="s">
        <v>789</v>
      </c>
      <c r="B53" s="1218" t="s">
        <v>2110</v>
      </c>
      <c r="C53" s="1219"/>
      <c r="D53" s="1219"/>
      <c r="E53" s="1219"/>
      <c r="F53" s="1218" t="s">
        <v>2</v>
      </c>
      <c r="G53" s="1218" t="s">
        <v>785</v>
      </c>
      <c r="H53" s="1218" t="s">
        <v>3950</v>
      </c>
      <c r="I53" s="1220">
        <v>0.5</v>
      </c>
      <c r="J53" s="1220">
        <v>0</v>
      </c>
      <c r="K53" s="1220">
        <v>0.5</v>
      </c>
      <c r="L53" s="653" t="str">
        <f t="shared" si="2"/>
        <v>517</v>
      </c>
      <c r="M53" s="654" t="str">
        <f t="shared" si="0"/>
        <v>DIR. GENERAL PIECES</v>
      </c>
      <c r="N53" s="655">
        <f>+IF(OR($Q53=Parametres!$G$2,$Q53=Parametres!$G$3),I53,C53)</f>
        <v>0.5</v>
      </c>
      <c r="O53" s="655">
        <f>+IF(OR($Q53=Parametres!$G$2,$Q53=Parametres!$G$3),J53,D53)</f>
        <v>0</v>
      </c>
      <c r="P53" s="655">
        <f>+IF(OR($Q53=Parametres!$G$2,$Q53=Parametres!$G$3),K53,E53)</f>
        <v>0.5</v>
      </c>
      <c r="Q53" s="654" t="str">
        <f t="shared" ref="Q53:S53" si="53">+F53</f>
        <v>1-Mémo</v>
      </c>
      <c r="R53" s="653" t="str">
        <f t="shared" si="53"/>
        <v>50</v>
      </c>
      <c r="S53" s="654" t="str">
        <f t="shared" si="53"/>
        <v>_</v>
      </c>
      <c r="T53" s="656" t="str">
        <f>+VLOOKUP($L53,Data_Validation!$A:$D,1,0)</f>
        <v>517</v>
      </c>
      <c r="U53" s="656">
        <f>+VLOOKUP($L53,Data_Validation!$A:$D,3,0)</f>
        <v>0</v>
      </c>
      <c r="V53" s="656">
        <f>+VLOOKUP($L53,Data_Validation!$A:$D,4,0)</f>
        <v>0</v>
      </c>
      <c r="W53" s="656" t="str">
        <f>+VLOOKUP($L53,Data_Validation!$A:$E,5,0)</f>
        <v>$</v>
      </c>
      <c r="X53" s="656">
        <f>+VLOOKUP($L53,Data_Validation!$A:$F,6,0)</f>
        <v>0</v>
      </c>
    </row>
    <row r="54" spans="1:24" ht="15" customHeight="1">
      <c r="A54" s="1218" t="s">
        <v>790</v>
      </c>
      <c r="B54" s="1218" t="s">
        <v>2119</v>
      </c>
      <c r="C54" s="1219"/>
      <c r="D54" s="1219"/>
      <c r="E54" s="1219"/>
      <c r="F54" s="1218" t="s">
        <v>2</v>
      </c>
      <c r="G54" s="1218" t="s">
        <v>785</v>
      </c>
      <c r="H54" s="1218" t="s">
        <v>3950</v>
      </c>
      <c r="I54" s="1220">
        <v>1.5</v>
      </c>
      <c r="J54" s="1220">
        <v>0</v>
      </c>
      <c r="K54" s="1220">
        <v>1.5</v>
      </c>
      <c r="L54" s="653" t="str">
        <f t="shared" si="2"/>
        <v>521</v>
      </c>
      <c r="M54" s="654" t="str">
        <f t="shared" si="0"/>
        <v>DIR. SERVICE NEUFS</v>
      </c>
      <c r="N54" s="655">
        <f>+IF(OR($Q54=Parametres!$G$2,$Q54=Parametres!$G$3),I54,C54)</f>
        <v>1.5</v>
      </c>
      <c r="O54" s="655">
        <f>+IF(OR($Q54=Parametres!$G$2,$Q54=Parametres!$G$3),J54,D54)</f>
        <v>0</v>
      </c>
      <c r="P54" s="655">
        <f>+IF(OR($Q54=Parametres!$G$2,$Q54=Parametres!$G$3),K54,E54)</f>
        <v>1.5</v>
      </c>
      <c r="Q54" s="654" t="str">
        <f t="shared" ref="Q54:S54" si="54">+F54</f>
        <v>1-Mémo</v>
      </c>
      <c r="R54" s="653" t="str">
        <f t="shared" si="54"/>
        <v>50</v>
      </c>
      <c r="S54" s="654" t="str">
        <f t="shared" si="54"/>
        <v>_</v>
      </c>
      <c r="T54" s="656" t="str">
        <f>+VLOOKUP($L54,Data_Validation!$A:$D,1,0)</f>
        <v>521</v>
      </c>
      <c r="U54" s="656">
        <f>+VLOOKUP($L54,Data_Validation!$A:$D,3,0)</f>
        <v>0</v>
      </c>
      <c r="V54" s="656">
        <f>+VLOOKUP($L54,Data_Validation!$A:$D,4,0)</f>
        <v>0</v>
      </c>
      <c r="W54" s="656" t="str">
        <f>+VLOOKUP($L54,Data_Validation!$A:$E,5,0)</f>
        <v>$</v>
      </c>
      <c r="X54" s="656">
        <f>+VLOOKUP($L54,Data_Validation!$A:$F,6,0)</f>
        <v>0</v>
      </c>
    </row>
    <row r="55" spans="1:24" ht="15" customHeight="1">
      <c r="A55" s="1218" t="s">
        <v>791</v>
      </c>
      <c r="B55" s="1218" t="s">
        <v>2128</v>
      </c>
      <c r="C55" s="1219"/>
      <c r="D55" s="1219"/>
      <c r="E55" s="1219"/>
      <c r="F55" s="1218" t="s">
        <v>2</v>
      </c>
      <c r="G55" s="1218" t="s">
        <v>785</v>
      </c>
      <c r="H55" s="1218" t="s">
        <v>3950</v>
      </c>
      <c r="I55" s="1220">
        <v>1.5</v>
      </c>
      <c r="J55" s="1220">
        <v>0</v>
      </c>
      <c r="K55" s="1220">
        <v>1.5</v>
      </c>
      <c r="L55" s="653" t="str">
        <f t="shared" si="2"/>
        <v>522</v>
      </c>
      <c r="M55" s="654" t="str">
        <f t="shared" si="0"/>
        <v>DIR. SERVICE USAGES</v>
      </c>
      <c r="N55" s="655">
        <f>+IF(OR($Q55=Parametres!$G$2,$Q55=Parametres!$G$3),I55,C55)</f>
        <v>1.5</v>
      </c>
      <c r="O55" s="655">
        <f>+IF(OR($Q55=Parametres!$G$2,$Q55=Parametres!$G$3),J55,D55)</f>
        <v>0</v>
      </c>
      <c r="P55" s="655">
        <f>+IF(OR($Q55=Parametres!$G$2,$Q55=Parametres!$G$3),K55,E55)</f>
        <v>1.5</v>
      </c>
      <c r="Q55" s="654" t="str">
        <f t="shared" ref="Q55:S55" si="55">+F55</f>
        <v>1-Mémo</v>
      </c>
      <c r="R55" s="653" t="str">
        <f t="shared" si="55"/>
        <v>50</v>
      </c>
      <c r="S55" s="654" t="str">
        <f t="shared" si="55"/>
        <v>_</v>
      </c>
      <c r="T55" s="656" t="str">
        <f>+VLOOKUP($L55,Data_Validation!$A:$D,1,0)</f>
        <v>522</v>
      </c>
      <c r="U55" s="656">
        <f>+VLOOKUP($L55,Data_Validation!$A:$D,3,0)</f>
        <v>0</v>
      </c>
      <c r="V55" s="656">
        <f>+VLOOKUP($L55,Data_Validation!$A:$D,4,0)</f>
        <v>0</v>
      </c>
      <c r="W55" s="656" t="str">
        <f>+VLOOKUP($L55,Data_Validation!$A:$E,5,0)</f>
        <v>$</v>
      </c>
      <c r="X55" s="656">
        <f>+VLOOKUP($L55,Data_Validation!$A:$F,6,0)</f>
        <v>0</v>
      </c>
    </row>
    <row r="56" spans="1:24" ht="15.75" customHeight="1">
      <c r="A56" s="1218" t="s">
        <v>792</v>
      </c>
      <c r="B56" s="1218" t="s">
        <v>2131</v>
      </c>
      <c r="C56" s="1219"/>
      <c r="D56" s="1219"/>
      <c r="E56" s="1219"/>
      <c r="F56" s="1218" t="s">
        <v>2</v>
      </c>
      <c r="G56" s="1218" t="s">
        <v>785</v>
      </c>
      <c r="H56" s="1218" t="s">
        <v>3950</v>
      </c>
      <c r="I56" s="1220">
        <v>1</v>
      </c>
      <c r="J56" s="1220">
        <v>0</v>
      </c>
      <c r="K56" s="1220">
        <v>1</v>
      </c>
      <c r="L56" s="653" t="str">
        <f t="shared" si="2"/>
        <v>524</v>
      </c>
      <c r="M56" s="654" t="str">
        <f t="shared" si="0"/>
        <v>DIR. SERVICE SERVICE</v>
      </c>
      <c r="N56" s="655">
        <f>+IF(OR($Q56=Parametres!$G$2,$Q56=Parametres!$G$3),I56,C56)</f>
        <v>1</v>
      </c>
      <c r="O56" s="655">
        <f>+IF(OR($Q56=Parametres!$G$2,$Q56=Parametres!$G$3),J56,D56)</f>
        <v>0</v>
      </c>
      <c r="P56" s="655">
        <f>+IF(OR($Q56=Parametres!$G$2,$Q56=Parametres!$G$3),K56,E56)</f>
        <v>1</v>
      </c>
      <c r="Q56" s="654" t="str">
        <f t="shared" ref="Q56:S56" si="56">+F56</f>
        <v>1-Mémo</v>
      </c>
      <c r="R56" s="653" t="str">
        <f t="shared" si="56"/>
        <v>50</v>
      </c>
      <c r="S56" s="654" t="str">
        <f t="shared" si="56"/>
        <v>_</v>
      </c>
      <c r="T56" s="656" t="str">
        <f>+VLOOKUP($L56,Data_Validation!$A:$D,1,0)</f>
        <v>524</v>
      </c>
      <c r="U56" s="656">
        <f>+VLOOKUP($L56,Data_Validation!$A:$D,3,0)</f>
        <v>0</v>
      </c>
      <c r="V56" s="656">
        <f>+VLOOKUP($L56,Data_Validation!$A:$D,4,0)</f>
        <v>0</v>
      </c>
      <c r="W56" s="656" t="str">
        <f>+VLOOKUP($L56,Data_Validation!$A:$E,5,0)</f>
        <v>$</v>
      </c>
      <c r="X56" s="656">
        <f>+VLOOKUP($L56,Data_Validation!$A:$F,6,0)</f>
        <v>0</v>
      </c>
    </row>
    <row r="57" spans="1:24" ht="15" customHeight="1">
      <c r="A57" s="1218" t="s">
        <v>793</v>
      </c>
      <c r="B57" s="1218" t="s">
        <v>2133</v>
      </c>
      <c r="C57" s="1219"/>
      <c r="D57" s="1219"/>
      <c r="E57" s="1219"/>
      <c r="F57" s="1218" t="s">
        <v>2</v>
      </c>
      <c r="G57" s="1218" t="s">
        <v>785</v>
      </c>
      <c r="H57" s="1218" t="s">
        <v>3950</v>
      </c>
      <c r="I57" s="1220">
        <v>1</v>
      </c>
      <c r="J57" s="1220">
        <v>0</v>
      </c>
      <c r="K57" s="1220">
        <v>1</v>
      </c>
      <c r="L57" s="653" t="str">
        <f t="shared" si="2"/>
        <v>527</v>
      </c>
      <c r="M57" s="654" t="str">
        <f t="shared" si="0"/>
        <v>DIR. SERVICE PIECES</v>
      </c>
      <c r="N57" s="655">
        <f>+IF(OR($Q57=Parametres!$G$2,$Q57=Parametres!$G$3),I57,C57)</f>
        <v>1</v>
      </c>
      <c r="O57" s="655">
        <f>+IF(OR($Q57=Parametres!$G$2,$Q57=Parametres!$G$3),J57,D57)</f>
        <v>0</v>
      </c>
      <c r="P57" s="655">
        <f>+IF(OR($Q57=Parametres!$G$2,$Q57=Parametres!$G$3),K57,E57)</f>
        <v>1</v>
      </c>
      <c r="Q57" s="654" t="str">
        <f t="shared" ref="Q57:S57" si="57">+F57</f>
        <v>1-Mémo</v>
      </c>
      <c r="R57" s="653" t="str">
        <f t="shared" si="57"/>
        <v>50</v>
      </c>
      <c r="S57" s="654" t="str">
        <f t="shared" si="57"/>
        <v>_</v>
      </c>
      <c r="T57" s="656" t="str">
        <f>+VLOOKUP($L57,Data_Validation!$A:$D,1,0)</f>
        <v>527</v>
      </c>
      <c r="U57" s="656">
        <f>+VLOOKUP($L57,Data_Validation!$A:$D,3,0)</f>
        <v>0</v>
      </c>
      <c r="V57" s="656">
        <f>+VLOOKUP($L57,Data_Validation!$A:$D,4,0)</f>
        <v>0</v>
      </c>
      <c r="W57" s="656" t="str">
        <f>+VLOOKUP($L57,Data_Validation!$A:$E,5,0)</f>
        <v>$</v>
      </c>
      <c r="X57" s="656">
        <f>+VLOOKUP($L57,Data_Validation!$A:$F,6,0)</f>
        <v>0</v>
      </c>
    </row>
    <row r="58" spans="1:24" ht="15" customHeight="1">
      <c r="A58" s="1218" t="s">
        <v>794</v>
      </c>
      <c r="B58" s="1218" t="s">
        <v>2157</v>
      </c>
      <c r="C58" s="1219"/>
      <c r="D58" s="1219"/>
      <c r="E58" s="1219"/>
      <c r="F58" s="1218" t="s">
        <v>2</v>
      </c>
      <c r="G58" s="1218" t="s">
        <v>3330</v>
      </c>
      <c r="H58" s="1218" t="s">
        <v>3950</v>
      </c>
      <c r="I58" s="1220">
        <v>6</v>
      </c>
      <c r="J58" s="1220">
        <v>0</v>
      </c>
      <c r="K58" s="1220">
        <v>6</v>
      </c>
      <c r="L58" s="653" t="str">
        <f t="shared" si="2"/>
        <v>541</v>
      </c>
      <c r="M58" s="654" t="str">
        <f t="shared" si="0"/>
        <v>VW REP. DES VENTES - NEUF</v>
      </c>
      <c r="N58" s="655">
        <f>+IF(OR($Q58=Parametres!$G$2,$Q58=Parametres!$G$3),I58,C58)</f>
        <v>6</v>
      </c>
      <c r="O58" s="655">
        <f>+IF(OR($Q58=Parametres!$G$2,$Q58=Parametres!$G$3),J58,D58)</f>
        <v>0</v>
      </c>
      <c r="P58" s="655">
        <f>+IF(OR($Q58=Parametres!$G$2,$Q58=Parametres!$G$3),K58,E58)</f>
        <v>6</v>
      </c>
      <c r="Q58" s="654" t="str">
        <f t="shared" ref="Q58:S58" si="58">+F58</f>
        <v>1-Mémo</v>
      </c>
      <c r="R58" s="653" t="str">
        <f t="shared" si="58"/>
        <v>54</v>
      </c>
      <c r="S58" s="654" t="str">
        <f t="shared" si="58"/>
        <v>_</v>
      </c>
      <c r="T58" s="656" t="str">
        <f>+VLOOKUP($L58,Data_Validation!$A:$D,1,0)</f>
        <v>541</v>
      </c>
      <c r="U58" s="656">
        <f>+VLOOKUP($L58,Data_Validation!$A:$D,3,0)</f>
        <v>0</v>
      </c>
      <c r="V58" s="656">
        <f>+VLOOKUP($L58,Data_Validation!$A:$D,4,0)</f>
        <v>0</v>
      </c>
      <c r="W58" s="656" t="str">
        <f>+VLOOKUP($L58,Data_Validation!$A:$E,5,0)</f>
        <v>$</v>
      </c>
      <c r="X58" s="656">
        <f>+VLOOKUP($L58,Data_Validation!$A:$F,6,0)</f>
        <v>0</v>
      </c>
    </row>
    <row r="59" spans="1:24" ht="15" customHeight="1">
      <c r="A59" s="1218" t="s">
        <v>795</v>
      </c>
      <c r="B59" s="1218" t="s">
        <v>2163</v>
      </c>
      <c r="C59" s="1219"/>
      <c r="D59" s="1219"/>
      <c r="E59" s="1219"/>
      <c r="F59" s="1218" t="s">
        <v>2</v>
      </c>
      <c r="G59" s="1218" t="s">
        <v>785</v>
      </c>
      <c r="H59" s="1218" t="s">
        <v>3950</v>
      </c>
      <c r="I59" s="1220">
        <v>3</v>
      </c>
      <c r="J59" s="1220">
        <v>0</v>
      </c>
      <c r="K59" s="1220">
        <v>3</v>
      </c>
      <c r="L59" s="653" t="str">
        <f t="shared" si="2"/>
        <v>542</v>
      </c>
      <c r="M59" s="654" t="str">
        <f t="shared" si="0"/>
        <v>VW REP. DES VENTES - OCC.</v>
      </c>
      <c r="N59" s="655">
        <f>+IF(OR($Q59=Parametres!$G$2,$Q59=Parametres!$G$3),I59,C59)</f>
        <v>3</v>
      </c>
      <c r="O59" s="659">
        <f>+IF(OR($Q59=Parametres!$G$2,$Q59=Parametres!$G$3),J59,D59)</f>
        <v>0</v>
      </c>
      <c r="P59" s="655">
        <f>+IF(OR($Q59=Parametres!$G$2,$Q59=Parametres!$G$3),K59,E59)</f>
        <v>3</v>
      </c>
      <c r="Q59" s="654" t="str">
        <f t="shared" ref="Q59:S59" si="59">+F59</f>
        <v>1-Mémo</v>
      </c>
      <c r="R59" s="653" t="str">
        <f t="shared" si="59"/>
        <v>50</v>
      </c>
      <c r="S59" s="654" t="str">
        <f t="shared" si="59"/>
        <v>_</v>
      </c>
      <c r="T59" s="656" t="str">
        <f>+VLOOKUP($L59,Data_Validation!$A:$D,1,0)</f>
        <v>542</v>
      </c>
      <c r="U59" s="656">
        <f>+VLOOKUP($L59,Data_Validation!$A:$D,3,0)</f>
        <v>0</v>
      </c>
      <c r="V59" s="656">
        <f>+VLOOKUP($L59,Data_Validation!$A:$D,4,0)</f>
        <v>0</v>
      </c>
      <c r="W59" s="656" t="str">
        <f>+VLOOKUP($L59,Data_Validation!$A:$E,5,0)</f>
        <v>$</v>
      </c>
      <c r="X59" s="656">
        <f>+VLOOKUP($L59,Data_Validation!$A:$F,6,0)</f>
        <v>0</v>
      </c>
    </row>
    <row r="60" spans="1:24" ht="15" customHeight="1">
      <c r="A60" s="1218" t="s">
        <v>796</v>
      </c>
      <c r="B60" s="1218" t="s">
        <v>2178</v>
      </c>
      <c r="C60" s="1219"/>
      <c r="D60" s="1219"/>
      <c r="E60" s="1219"/>
      <c r="F60" s="1218" t="s">
        <v>2</v>
      </c>
      <c r="G60" s="1218" t="s">
        <v>785</v>
      </c>
      <c r="H60" s="1218" t="s">
        <v>3950</v>
      </c>
      <c r="I60" s="1220">
        <v>2</v>
      </c>
      <c r="J60" s="1220">
        <v>0</v>
      </c>
      <c r="K60" s="1220">
        <v>2</v>
      </c>
      <c r="L60" s="653" t="str">
        <f t="shared" si="2"/>
        <v>551</v>
      </c>
      <c r="M60" s="654" t="str">
        <f t="shared" si="0"/>
        <v>DIR. COMMERCIAL NEUFS</v>
      </c>
      <c r="N60" s="655">
        <f>+IF(OR($Q60=Parametres!$G$2,$Q60=Parametres!$G$3),I60,C60)</f>
        <v>2</v>
      </c>
      <c r="O60" s="655">
        <f>+IF(OR($Q60=Parametres!$G$2,$Q60=Parametres!$G$3),J60,D60)</f>
        <v>0</v>
      </c>
      <c r="P60" s="655">
        <f>+IF(OR($Q60=Parametres!$G$2,$Q60=Parametres!$G$3),K60,E60)</f>
        <v>2</v>
      </c>
      <c r="Q60" s="654" t="str">
        <f t="shared" ref="Q60:S60" si="60">+F60</f>
        <v>1-Mémo</v>
      </c>
      <c r="R60" s="653" t="str">
        <f t="shared" si="60"/>
        <v>50</v>
      </c>
      <c r="S60" s="654" t="str">
        <f t="shared" si="60"/>
        <v>_</v>
      </c>
      <c r="T60" s="656" t="str">
        <f>+VLOOKUP($L60,Data_Validation!$A:$D,1,0)</f>
        <v>551</v>
      </c>
      <c r="U60" s="656">
        <f>+VLOOKUP($L60,Data_Validation!$A:$D,3,0)</f>
        <v>0</v>
      </c>
      <c r="V60" s="656">
        <f>+VLOOKUP($L60,Data_Validation!$A:$D,4,0)</f>
        <v>0</v>
      </c>
      <c r="W60" s="656" t="str">
        <f>+VLOOKUP($L60,Data_Validation!$A:$E,5,0)</f>
        <v>$</v>
      </c>
      <c r="X60" s="656">
        <f>+VLOOKUP($L60,Data_Validation!$A:$F,6,0)</f>
        <v>0</v>
      </c>
    </row>
    <row r="61" spans="1:24" ht="15" customHeight="1">
      <c r="A61" s="1218" t="s">
        <v>797</v>
      </c>
      <c r="B61" s="1218" t="s">
        <v>2181</v>
      </c>
      <c r="C61" s="1219"/>
      <c r="D61" s="1219"/>
      <c r="E61" s="1219"/>
      <c r="F61" s="1218" t="s">
        <v>2</v>
      </c>
      <c r="G61" s="1218" t="s">
        <v>785</v>
      </c>
      <c r="H61" s="1218" t="s">
        <v>3950</v>
      </c>
      <c r="I61" s="1220">
        <v>1</v>
      </c>
      <c r="J61" s="1220">
        <v>0</v>
      </c>
      <c r="K61" s="1220">
        <v>1</v>
      </c>
      <c r="L61" s="653" t="str">
        <f t="shared" si="2"/>
        <v>552</v>
      </c>
      <c r="M61" s="654" t="str">
        <f t="shared" si="0"/>
        <v>DIR. COMMERCIAL USAGES</v>
      </c>
      <c r="N61" s="655">
        <f>+IF(OR($Q61=Parametres!$G$2,$Q61=Parametres!$G$3),I61,C61)</f>
        <v>1</v>
      </c>
      <c r="O61" s="655">
        <f>+IF(OR($Q61=Parametres!$G$2,$Q61=Parametres!$G$3),J61,D61)</f>
        <v>0</v>
      </c>
      <c r="P61" s="655">
        <f>+IF(OR($Q61=Parametres!$G$2,$Q61=Parametres!$G$3),K61,E61)</f>
        <v>1</v>
      </c>
      <c r="Q61" s="654" t="str">
        <f t="shared" ref="Q61:S61" si="61">+F61</f>
        <v>1-Mémo</v>
      </c>
      <c r="R61" s="653" t="str">
        <f t="shared" si="61"/>
        <v>50</v>
      </c>
      <c r="S61" s="654" t="str">
        <f t="shared" si="61"/>
        <v>_</v>
      </c>
      <c r="T61" s="656" t="str">
        <f>+VLOOKUP($L61,Data_Validation!$A:$D,1,0)</f>
        <v>552</v>
      </c>
      <c r="U61" s="656">
        <f>+VLOOKUP($L61,Data_Validation!$A:$D,3,0)</f>
        <v>0</v>
      </c>
      <c r="V61" s="656">
        <f>+VLOOKUP($L61,Data_Validation!$A:$D,4,0)</f>
        <v>0</v>
      </c>
      <c r="W61" s="656" t="str">
        <f>+VLOOKUP($L61,Data_Validation!$A:$E,5,0)</f>
        <v>$</v>
      </c>
      <c r="X61" s="656">
        <f>+VLOOKUP($L61,Data_Validation!$A:$F,6,0)</f>
        <v>0</v>
      </c>
    </row>
    <row r="62" spans="1:24" ht="15" customHeight="1">
      <c r="A62" s="1218" t="s">
        <v>798</v>
      </c>
      <c r="B62" s="1218" t="s">
        <v>3355</v>
      </c>
      <c r="C62" s="1219"/>
      <c r="D62" s="1219"/>
      <c r="E62" s="1219"/>
      <c r="F62" s="1218" t="s">
        <v>2</v>
      </c>
      <c r="G62" s="1218" t="s">
        <v>785</v>
      </c>
      <c r="H62" s="1218" t="s">
        <v>3950</v>
      </c>
      <c r="I62" s="1220">
        <v>1</v>
      </c>
      <c r="J62" s="1220">
        <v>0</v>
      </c>
      <c r="K62" s="1220">
        <v>1</v>
      </c>
      <c r="L62" s="653" t="str">
        <f t="shared" si="2"/>
        <v>564</v>
      </c>
      <c r="M62" s="654" t="str">
        <f t="shared" si="0"/>
        <v>CONTREMAITRE SERVICE</v>
      </c>
      <c r="N62" s="655">
        <f>+IF(OR($Q62=Parametres!$G$2,$Q62=Parametres!$G$3),I62,C62)</f>
        <v>1</v>
      </c>
      <c r="O62" s="655">
        <f>+IF(OR($Q62=Parametres!$G$2,$Q62=Parametres!$G$3),J62,D62)</f>
        <v>0</v>
      </c>
      <c r="P62" s="655">
        <f>+IF(OR($Q62=Parametres!$G$2,$Q62=Parametres!$G$3),K62,E62)</f>
        <v>1</v>
      </c>
      <c r="Q62" s="654" t="str">
        <f t="shared" ref="Q62:S62" si="62">+F62</f>
        <v>1-Mémo</v>
      </c>
      <c r="R62" s="653" t="str">
        <f t="shared" si="62"/>
        <v>50</v>
      </c>
      <c r="S62" s="654" t="str">
        <f t="shared" si="62"/>
        <v>_</v>
      </c>
      <c r="T62" s="656" t="str">
        <f>+VLOOKUP($L62,Data_Validation!$A:$D,1,0)</f>
        <v>564</v>
      </c>
      <c r="U62" s="656">
        <f>+VLOOKUP($L62,Data_Validation!$A:$D,3,0)</f>
        <v>0</v>
      </c>
      <c r="V62" s="656">
        <f>+VLOOKUP($L62,Data_Validation!$A:$D,4,0)</f>
        <v>0</v>
      </c>
      <c r="W62" s="656" t="str">
        <f>+VLOOKUP($L62,Data_Validation!$A:$E,5,0)</f>
        <v>$</v>
      </c>
      <c r="X62" s="656">
        <f>+VLOOKUP($L62,Data_Validation!$A:$F,6,0)</f>
        <v>0</v>
      </c>
    </row>
    <row r="63" spans="1:24" ht="15" customHeight="1">
      <c r="A63" s="1218" t="s">
        <v>799</v>
      </c>
      <c r="B63" s="1218" t="s">
        <v>2276</v>
      </c>
      <c r="C63" s="1219"/>
      <c r="D63" s="1219"/>
      <c r="E63" s="1219"/>
      <c r="F63" s="1218" t="s">
        <v>2</v>
      </c>
      <c r="G63" s="1218" t="s">
        <v>3331</v>
      </c>
      <c r="H63" s="1218" t="s">
        <v>3950</v>
      </c>
      <c r="I63" s="1220">
        <v>4</v>
      </c>
      <c r="J63" s="1220">
        <v>0</v>
      </c>
      <c r="K63" s="1220">
        <v>4</v>
      </c>
      <c r="L63" s="653" t="str">
        <f t="shared" si="2"/>
        <v>614</v>
      </c>
      <c r="M63" s="654" t="str">
        <f t="shared" si="0"/>
        <v>VW CONSEILLERS SERVICE -SERVICE</v>
      </c>
      <c r="N63" s="655">
        <f>+IF(OR($Q63=Parametres!$G$2,$Q63=Parametres!$G$3),I63,C63)</f>
        <v>4</v>
      </c>
      <c r="O63" s="659">
        <f>+IF(OR($Q63=Parametres!$G$2,$Q63=Parametres!$G$3),J63,D63)</f>
        <v>0</v>
      </c>
      <c r="P63" s="655">
        <f>+IF(OR($Q63=Parametres!$G$2,$Q63=Parametres!$G$3),K63,E63)</f>
        <v>4</v>
      </c>
      <c r="Q63" s="654" t="str">
        <f t="shared" ref="Q63:S63" si="63">+F63</f>
        <v>1-Mémo</v>
      </c>
      <c r="R63" s="653" t="str">
        <f t="shared" si="63"/>
        <v>61</v>
      </c>
      <c r="S63" s="654" t="str">
        <f t="shared" si="63"/>
        <v>_</v>
      </c>
      <c r="T63" s="656" t="str">
        <f>+VLOOKUP($L63,Data_Validation!$A:$D,1,0)</f>
        <v>614</v>
      </c>
      <c r="U63" s="656">
        <f>+VLOOKUP($L63,Data_Validation!$A:$D,3,0)</f>
        <v>0</v>
      </c>
      <c r="V63" s="656">
        <f>+VLOOKUP($L63,Data_Validation!$A:$D,4,0)</f>
        <v>0</v>
      </c>
      <c r="W63" s="656" t="str">
        <f>+VLOOKUP($L63,Data_Validation!$A:$E,5,0)</f>
        <v>$</v>
      </c>
      <c r="X63" s="656">
        <f>+VLOOKUP($L63,Data_Validation!$A:$F,6,0)</f>
        <v>0</v>
      </c>
    </row>
    <row r="64" spans="1:24" ht="15" customHeight="1">
      <c r="A64" s="1218" t="s">
        <v>800</v>
      </c>
      <c r="B64" s="1218" t="s">
        <v>1208</v>
      </c>
      <c r="C64" s="1219"/>
      <c r="D64" s="1219"/>
      <c r="E64" s="1219"/>
      <c r="F64" s="1218" t="s">
        <v>2</v>
      </c>
      <c r="G64" s="1218" t="s">
        <v>3331</v>
      </c>
      <c r="H64" s="1218" t="s">
        <v>3950</v>
      </c>
      <c r="I64" s="1220">
        <v>1</v>
      </c>
      <c r="J64" s="1220">
        <v>0</v>
      </c>
      <c r="K64" s="1220">
        <v>1</v>
      </c>
      <c r="L64" s="653" t="str">
        <f t="shared" si="2"/>
        <v>615</v>
      </c>
      <c r="M64" s="654" t="str">
        <f t="shared" si="0"/>
        <v>VW CONSEILLERS SERVICE - PIEC. &amp; CARR.&lt;</v>
      </c>
      <c r="N64" s="655">
        <f>+IF(OR($Q64=Parametres!$G$2,$Q64=Parametres!$G$3),I64,C64)</f>
        <v>1</v>
      </c>
      <c r="O64" s="655">
        <f>+IF(OR($Q64=Parametres!$G$2,$Q64=Parametres!$G$3),J64,D64)</f>
        <v>0</v>
      </c>
      <c r="P64" s="655">
        <f>+IF(OR($Q64=Parametres!$G$2,$Q64=Parametres!$G$3),K64,E64)</f>
        <v>1</v>
      </c>
      <c r="Q64" s="654" t="str">
        <f t="shared" ref="Q64:S64" si="64">+F64</f>
        <v>1-Mémo</v>
      </c>
      <c r="R64" s="653" t="str">
        <f t="shared" si="64"/>
        <v>61</v>
      </c>
      <c r="S64" s="654" t="str">
        <f t="shared" si="64"/>
        <v>_</v>
      </c>
      <c r="T64" s="656" t="str">
        <f>+VLOOKUP($L64,Data_Validation!$A:$D,1,0)</f>
        <v>615</v>
      </c>
      <c r="U64" s="656">
        <f>+VLOOKUP($L64,Data_Validation!$A:$D,3,0)</f>
        <v>0</v>
      </c>
      <c r="V64" s="656">
        <f>+VLOOKUP($L64,Data_Validation!$A:$D,4,0)</f>
        <v>0</v>
      </c>
      <c r="W64" s="656" t="str">
        <f>+VLOOKUP($L64,Data_Validation!$A:$E,5,0)</f>
        <v>$</v>
      </c>
      <c r="X64" s="656">
        <f>+VLOOKUP($L64,Data_Validation!$A:$F,6,0)</f>
        <v>0</v>
      </c>
    </row>
    <row r="65" spans="1:24" ht="15" customHeight="1">
      <c r="A65" s="1218" t="s">
        <v>801</v>
      </c>
      <c r="B65" s="1218" t="s">
        <v>2337</v>
      </c>
      <c r="C65" s="1219"/>
      <c r="D65" s="1219"/>
      <c r="E65" s="1219"/>
      <c r="F65" s="1218" t="s">
        <v>2</v>
      </c>
      <c r="G65" s="1218" t="s">
        <v>785</v>
      </c>
      <c r="H65" s="1218" t="s">
        <v>3950</v>
      </c>
      <c r="I65" s="1220">
        <v>1</v>
      </c>
      <c r="J65" s="1220">
        <v>0</v>
      </c>
      <c r="K65" s="1220">
        <v>1</v>
      </c>
      <c r="L65" s="653" t="str">
        <f t="shared" si="2"/>
        <v>621</v>
      </c>
      <c r="M65" s="654" t="str">
        <f t="shared" si="0"/>
        <v>LAVEURS NEUFS</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t="str">
        <f t="shared" si="65"/>
        <v>_</v>
      </c>
      <c r="T65" s="656" t="str">
        <f>+VLOOKUP($L65,Data_Validation!$A:$D,1,0)</f>
        <v>621</v>
      </c>
      <c r="U65" s="656">
        <f>+VLOOKUP($L65,Data_Validation!$A:$D,3,0)</f>
        <v>0</v>
      </c>
      <c r="V65" s="656">
        <f>+VLOOKUP($L65,Data_Validation!$A:$D,4,0)</f>
        <v>0</v>
      </c>
      <c r="W65" s="656" t="str">
        <f>+VLOOKUP($L65,Data_Validation!$A:$E,5,0)</f>
        <v>$</v>
      </c>
      <c r="X65" s="656">
        <f>+VLOOKUP($L65,Data_Validation!$A:$F,6,0)</f>
        <v>0</v>
      </c>
    </row>
    <row r="66" spans="1:24" ht="15" customHeight="1">
      <c r="A66" s="1218" t="s">
        <v>802</v>
      </c>
      <c r="B66" s="1218" t="s">
        <v>2346</v>
      </c>
      <c r="C66" s="1219"/>
      <c r="D66" s="1219"/>
      <c r="E66" s="1219"/>
      <c r="F66" s="1218" t="s">
        <v>2</v>
      </c>
      <c r="G66" s="1218" t="s">
        <v>785</v>
      </c>
      <c r="H66" s="1218" t="s">
        <v>3950</v>
      </c>
      <c r="I66" s="1220">
        <v>1</v>
      </c>
      <c r="J66" s="1220">
        <v>0</v>
      </c>
      <c r="K66" s="1220">
        <v>1</v>
      </c>
      <c r="L66" s="653" t="str">
        <f t="shared" si="2"/>
        <v>622</v>
      </c>
      <c r="M66" s="654" t="str">
        <f t="shared" si="0"/>
        <v>LAVEURS USAGES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t="str">
        <f t="shared" si="66"/>
        <v>_</v>
      </c>
      <c r="T66" s="656" t="str">
        <f>+VLOOKUP($L66,Data_Validation!$A:$D,1,0)</f>
        <v>622</v>
      </c>
      <c r="U66" s="656">
        <f>+VLOOKUP($L66,Data_Validation!$A:$D,3,0)</f>
        <v>0</v>
      </c>
      <c r="V66" s="656">
        <f>+VLOOKUP($L66,Data_Validation!$A:$D,4,0)</f>
        <v>0</v>
      </c>
      <c r="W66" s="656" t="str">
        <f>+VLOOKUP($L66,Data_Validation!$A:$E,5,0)</f>
        <v>$</v>
      </c>
      <c r="X66" s="656">
        <f>+VLOOKUP($L66,Data_Validation!$A:$F,6,0)</f>
        <v>0</v>
      </c>
    </row>
    <row r="67" spans="1:24" ht="15" customHeight="1">
      <c r="A67" s="1218" t="s">
        <v>803</v>
      </c>
      <c r="B67" s="1218" t="s">
        <v>2371</v>
      </c>
      <c r="C67" s="1219"/>
      <c r="D67" s="1219"/>
      <c r="E67" s="1219"/>
      <c r="F67" s="1218" t="s">
        <v>2</v>
      </c>
      <c r="G67" s="1218" t="s">
        <v>785</v>
      </c>
      <c r="H67" s="1218" t="s">
        <v>3950</v>
      </c>
      <c r="I67" s="1220">
        <v>7</v>
      </c>
      <c r="J67" s="1220">
        <v>0</v>
      </c>
      <c r="K67" s="1220">
        <v>7</v>
      </c>
      <c r="L67" s="653" t="str">
        <f t="shared" ref="L67:L130" si="67">TEXT(B67,0)</f>
        <v>624</v>
      </c>
      <c r="M67" s="654" t="str">
        <f t="shared" si="0"/>
        <v>LAVEURS SERVICE</v>
      </c>
      <c r="N67" s="655">
        <f>+IF(OR($Q67=Parametres!$G$2,$Q67=Parametres!$G$3),I67,C67)</f>
        <v>7</v>
      </c>
      <c r="O67" s="655">
        <f>+IF(OR($Q67=Parametres!$G$2,$Q67=Parametres!$G$3),J67,D67)</f>
        <v>0</v>
      </c>
      <c r="P67" s="655">
        <f>+IF(OR($Q67=Parametres!$G$2,$Q67=Parametres!$G$3),K67,E67)</f>
        <v>7</v>
      </c>
      <c r="Q67" s="654" t="str">
        <f t="shared" ref="Q67:S67" si="68">+F67</f>
        <v>1-Mémo</v>
      </c>
      <c r="R67" s="653" t="str">
        <f t="shared" si="68"/>
        <v>50</v>
      </c>
      <c r="S67" s="654" t="str">
        <f t="shared" si="68"/>
        <v>_</v>
      </c>
      <c r="T67" s="656" t="str">
        <f>+VLOOKUP($L67,Data_Validation!$A:$D,1,0)</f>
        <v>624</v>
      </c>
      <c r="U67" s="656">
        <f>+VLOOKUP($L67,Data_Validation!$A:$D,3,0)</f>
        <v>0</v>
      </c>
      <c r="V67" s="656">
        <f>+VLOOKUP($L67,Data_Validation!$A:$D,4,0)</f>
        <v>0</v>
      </c>
      <c r="W67" s="656" t="str">
        <f>+VLOOKUP($L67,Data_Validation!$A:$E,5,0)</f>
        <v>$</v>
      </c>
      <c r="X67" s="656">
        <f>+VLOOKUP($L67,Data_Validation!$A:$F,6,0)</f>
        <v>0</v>
      </c>
    </row>
    <row r="68" spans="1:24" ht="15" customHeight="1">
      <c r="A68" s="1218" t="s">
        <v>804</v>
      </c>
      <c r="B68" s="1218" t="s">
        <v>2469</v>
      </c>
      <c r="C68" s="1219"/>
      <c r="D68" s="1219"/>
      <c r="E68" s="1219"/>
      <c r="F68" s="1218" t="s">
        <v>2</v>
      </c>
      <c r="G68" s="1218" t="s">
        <v>3332</v>
      </c>
      <c r="H68" s="1218" t="s">
        <v>3950</v>
      </c>
      <c r="I68" s="1220">
        <v>12</v>
      </c>
      <c r="J68" s="1220">
        <v>0</v>
      </c>
      <c r="K68" s="1220">
        <v>12</v>
      </c>
      <c r="L68" s="653" t="str">
        <f t="shared" si="67"/>
        <v>644</v>
      </c>
      <c r="M68" s="654" t="str">
        <f t="shared" si="0"/>
        <v>VW TECHNICIENS - SERVICE</v>
      </c>
      <c r="N68" s="655">
        <f>+IF(OR($Q68=Parametres!$G$2,$Q68=Parametres!$G$3),I68,C68)</f>
        <v>12</v>
      </c>
      <c r="O68" s="659">
        <f>+IF(OR($Q68=Parametres!$G$2,$Q68=Parametres!$G$3),J68,D68)</f>
        <v>0</v>
      </c>
      <c r="P68" s="655">
        <f>+IF(OR($Q68=Parametres!$G$2,$Q68=Parametres!$G$3),K68,E68)</f>
        <v>12</v>
      </c>
      <c r="Q68" s="654" t="str">
        <f t="shared" ref="Q68:S68" si="69">+F68</f>
        <v>1-Mémo</v>
      </c>
      <c r="R68" s="653" t="str">
        <f t="shared" si="69"/>
        <v>64</v>
      </c>
      <c r="S68" s="654" t="str">
        <f t="shared" si="69"/>
        <v>_</v>
      </c>
      <c r="T68" s="656" t="str">
        <f>+VLOOKUP($L68,Data_Validation!$A:$D,1,0)</f>
        <v>644</v>
      </c>
      <c r="U68" s="656">
        <f>+VLOOKUP($L68,Data_Validation!$A:$D,3,0)</f>
        <v>0</v>
      </c>
      <c r="V68" s="656">
        <f>+VLOOKUP($L68,Data_Validation!$A:$D,4,0)</f>
        <v>0</v>
      </c>
      <c r="W68" s="656" t="str">
        <f>+VLOOKUP($L68,Data_Validation!$A:$E,5,0)</f>
        <v>$</v>
      </c>
      <c r="X68" s="656">
        <f>+VLOOKUP($L68,Data_Validation!$A:$F,6,0)</f>
        <v>0</v>
      </c>
    </row>
    <row r="69" spans="1:24" ht="15" customHeight="1">
      <c r="A69" s="1218" t="s">
        <v>805</v>
      </c>
      <c r="B69" s="1218" t="s">
        <v>2538</v>
      </c>
      <c r="C69" s="1219"/>
      <c r="D69" s="1219"/>
      <c r="E69" s="1219"/>
      <c r="F69" s="1218" t="s">
        <v>2</v>
      </c>
      <c r="G69" s="1218" t="s">
        <v>785</v>
      </c>
      <c r="H69" s="1218" t="s">
        <v>3950</v>
      </c>
      <c r="I69" s="1220">
        <v>0.2</v>
      </c>
      <c r="J69" s="1220">
        <v>0</v>
      </c>
      <c r="K69" s="1220">
        <v>0.2</v>
      </c>
      <c r="L69" s="653" t="str">
        <f t="shared" si="67"/>
        <v>651</v>
      </c>
      <c r="M69" s="654" t="str">
        <f t="shared" si="0"/>
        <v>DIR. ADMINIS. NEUFS</v>
      </c>
      <c r="N69" s="655">
        <f>+IF(OR($Q69=Parametres!$G$2,$Q69=Parametres!$G$3),I69,C69)</f>
        <v>0.2</v>
      </c>
      <c r="O69" s="655">
        <f>+IF(OR($Q69=Parametres!$G$2,$Q69=Parametres!$G$3),J69,D69)</f>
        <v>0</v>
      </c>
      <c r="P69" s="655">
        <f>+IF(OR($Q69=Parametres!$G$2,$Q69=Parametres!$G$3),K69,E69)</f>
        <v>0.2</v>
      </c>
      <c r="Q69" s="654" t="str">
        <f t="shared" ref="Q69:S69" si="70">+F69</f>
        <v>1-Mémo</v>
      </c>
      <c r="R69" s="653" t="str">
        <f t="shared" si="70"/>
        <v>50</v>
      </c>
      <c r="S69" s="654" t="str">
        <f t="shared" si="70"/>
        <v>_</v>
      </c>
      <c r="T69" s="656" t="str">
        <f>+VLOOKUP($L69,Data_Validation!$A:$D,1,0)</f>
        <v>651</v>
      </c>
      <c r="U69" s="656">
        <f>+VLOOKUP($L69,Data_Validation!$A:$D,3,0)</f>
        <v>0</v>
      </c>
      <c r="V69" s="656">
        <f>+VLOOKUP($L69,Data_Validation!$A:$D,4,0)</f>
        <v>0</v>
      </c>
      <c r="W69" s="656" t="str">
        <f>+VLOOKUP($L69,Data_Validation!$A:$E,5,0)</f>
        <v>$</v>
      </c>
      <c r="X69" s="656">
        <f>+VLOOKUP($L69,Data_Validation!$A:$F,6,0)</f>
        <v>0</v>
      </c>
    </row>
    <row r="70" spans="1:24" ht="15" customHeight="1">
      <c r="A70" s="1218" t="s">
        <v>806</v>
      </c>
      <c r="B70" s="1218" t="s">
        <v>2544</v>
      </c>
      <c r="C70" s="1219"/>
      <c r="D70" s="1219"/>
      <c r="E70" s="1219"/>
      <c r="F70" s="1218" t="s">
        <v>2</v>
      </c>
      <c r="G70" s="1218" t="s">
        <v>785</v>
      </c>
      <c r="H70" s="1218" t="s">
        <v>3950</v>
      </c>
      <c r="I70" s="1220">
        <v>0.2</v>
      </c>
      <c r="J70" s="1220">
        <v>0</v>
      </c>
      <c r="K70" s="1220">
        <v>0.2</v>
      </c>
      <c r="L70" s="653" t="str">
        <f t="shared" si="67"/>
        <v>652</v>
      </c>
      <c r="M70" s="654" t="str">
        <f t="shared" si="0"/>
        <v>DIR. ADMINIS. USAGES</v>
      </c>
      <c r="N70" s="655">
        <f>+IF(OR($Q70=Parametres!$G$2,$Q70=Parametres!$G$3),I70,C70)</f>
        <v>0.2</v>
      </c>
      <c r="O70" s="655">
        <f>+IF(OR($Q70=Parametres!$G$2,$Q70=Parametres!$G$3),J70,D70)</f>
        <v>0</v>
      </c>
      <c r="P70" s="655">
        <f>+IF(OR($Q70=Parametres!$G$2,$Q70=Parametres!$G$3),K70,E70)</f>
        <v>0.2</v>
      </c>
      <c r="Q70" s="654" t="str">
        <f t="shared" ref="Q70:S70" si="71">+F70</f>
        <v>1-Mémo</v>
      </c>
      <c r="R70" s="653" t="str">
        <f t="shared" si="71"/>
        <v>50</v>
      </c>
      <c r="S70" s="654" t="str">
        <f t="shared" si="71"/>
        <v>_</v>
      </c>
      <c r="T70" s="656" t="str">
        <f>+VLOOKUP($L70,Data_Validation!$A:$D,1,0)</f>
        <v>652</v>
      </c>
      <c r="U70" s="656">
        <f>+VLOOKUP($L70,Data_Validation!$A:$D,3,0)</f>
        <v>0</v>
      </c>
      <c r="V70" s="656">
        <f>+VLOOKUP($L70,Data_Validation!$A:$D,4,0)</f>
        <v>0</v>
      </c>
      <c r="W70" s="656" t="str">
        <f>+VLOOKUP($L70,Data_Validation!$A:$E,5,0)</f>
        <v>$</v>
      </c>
      <c r="X70" s="656">
        <f>+VLOOKUP($L70,Data_Validation!$A:$F,6,0)</f>
        <v>0</v>
      </c>
    </row>
    <row r="71" spans="1:24" ht="15" customHeight="1">
      <c r="A71" s="1218" t="s">
        <v>807</v>
      </c>
      <c r="B71" s="1218" t="s">
        <v>2574</v>
      </c>
      <c r="C71" s="1219"/>
      <c r="D71" s="1219"/>
      <c r="E71" s="1219"/>
      <c r="F71" s="1218" t="s">
        <v>2</v>
      </c>
      <c r="G71" s="1218" t="s">
        <v>785</v>
      </c>
      <c r="H71" s="1218" t="s">
        <v>3950</v>
      </c>
      <c r="I71" s="1220">
        <v>0.2</v>
      </c>
      <c r="J71" s="1220">
        <v>0</v>
      </c>
      <c r="K71" s="1220">
        <v>0.2</v>
      </c>
      <c r="L71" s="653" t="str">
        <f t="shared" si="67"/>
        <v>654</v>
      </c>
      <c r="M71" s="654" t="str">
        <f t="shared" si="0"/>
        <v>DIR. ADMINIS. SERVICE</v>
      </c>
      <c r="N71" s="655">
        <f>+IF(OR($Q71=Parametres!$G$2,$Q71=Parametres!$G$3),I71,C71)</f>
        <v>0.2</v>
      </c>
      <c r="O71" s="655">
        <f>+IF(OR($Q71=Parametres!$G$2,$Q71=Parametres!$G$3),J71,D71)</f>
        <v>0</v>
      </c>
      <c r="P71" s="655">
        <f>+IF(OR($Q71=Parametres!$G$2,$Q71=Parametres!$G$3),K71,E71)</f>
        <v>0.2</v>
      </c>
      <c r="Q71" s="654" t="str">
        <f t="shared" ref="Q71:S71" si="72">+F71</f>
        <v>1-Mémo</v>
      </c>
      <c r="R71" s="653" t="str">
        <f t="shared" si="72"/>
        <v>50</v>
      </c>
      <c r="S71" s="654" t="str">
        <f t="shared" si="72"/>
        <v>_</v>
      </c>
      <c r="T71" s="656" t="str">
        <f>+VLOOKUP($L71,Data_Validation!$A:$D,1,0)</f>
        <v>654</v>
      </c>
      <c r="U71" s="656">
        <f>+VLOOKUP($L71,Data_Validation!$A:$D,3,0)</f>
        <v>0</v>
      </c>
      <c r="V71" s="656">
        <f>+VLOOKUP($L71,Data_Validation!$A:$D,4,0)</f>
        <v>0</v>
      </c>
      <c r="W71" s="656" t="str">
        <f>+VLOOKUP($L71,Data_Validation!$A:$E,5,0)</f>
        <v>$</v>
      </c>
      <c r="X71" s="656">
        <f>+VLOOKUP($L71,Data_Validation!$A:$F,6,0)</f>
        <v>0</v>
      </c>
    </row>
    <row r="72" spans="1:24" ht="15" customHeight="1">
      <c r="A72" s="1218" t="s">
        <v>808</v>
      </c>
      <c r="B72" s="1218" t="s">
        <v>1267</v>
      </c>
      <c r="C72" s="1219"/>
      <c r="D72" s="1219"/>
      <c r="E72" s="1219"/>
      <c r="F72" s="1218" t="s">
        <v>2</v>
      </c>
      <c r="G72" s="1218" t="s">
        <v>785</v>
      </c>
      <c r="H72" s="1218" t="s">
        <v>3950</v>
      </c>
      <c r="I72" s="1220">
        <v>0.2</v>
      </c>
      <c r="J72" s="1220">
        <v>0</v>
      </c>
      <c r="K72" s="1220">
        <v>0.2</v>
      </c>
      <c r="L72" s="653" t="str">
        <f t="shared" si="67"/>
        <v>655</v>
      </c>
      <c r="M72" s="654" t="str">
        <f t="shared" si="0"/>
        <v>DIR. ADMINIS. CARROSS.</v>
      </c>
      <c r="N72" s="655">
        <f>+IF(OR($Q72=Parametres!$G$2,$Q72=Parametres!$G$3),I72,C72)</f>
        <v>0.2</v>
      </c>
      <c r="O72" s="659">
        <f>+IF(OR($Q72=Parametres!$G$2,$Q72=Parametres!$G$3),J72,D72)</f>
        <v>0</v>
      </c>
      <c r="P72" s="655">
        <f>+IF(OR($Q72=Parametres!$G$2,$Q72=Parametres!$G$3),K72,E72)</f>
        <v>0.2</v>
      </c>
      <c r="Q72" s="654" t="str">
        <f t="shared" ref="Q72:S72" si="73">+F72</f>
        <v>1-Mémo</v>
      </c>
      <c r="R72" s="653" t="str">
        <f t="shared" si="73"/>
        <v>50</v>
      </c>
      <c r="S72" s="654" t="str">
        <f t="shared" si="73"/>
        <v>_</v>
      </c>
      <c r="T72" s="656" t="str">
        <f>+VLOOKUP($L72,Data_Validation!$A:$D,1,0)</f>
        <v>655</v>
      </c>
      <c r="U72" s="656">
        <f>+VLOOKUP($L72,Data_Validation!$A:$D,3,0)</f>
        <v>0</v>
      </c>
      <c r="V72" s="656">
        <f>+VLOOKUP($L72,Data_Validation!$A:$D,4,0)</f>
        <v>0</v>
      </c>
      <c r="W72" s="656" t="str">
        <f>+VLOOKUP($L72,Data_Validation!$A:$E,5,0)</f>
        <v>$</v>
      </c>
      <c r="X72" s="656">
        <f>+VLOOKUP($L72,Data_Validation!$A:$F,6,0)</f>
        <v>0</v>
      </c>
    </row>
    <row r="73" spans="1:24" ht="15" customHeight="1">
      <c r="A73" s="1218" t="s">
        <v>809</v>
      </c>
      <c r="B73" s="1218" t="s">
        <v>2617</v>
      </c>
      <c r="C73" s="1219"/>
      <c r="D73" s="1219"/>
      <c r="E73" s="1219"/>
      <c r="F73" s="1218" t="s">
        <v>2</v>
      </c>
      <c r="G73" s="1218" t="s">
        <v>785</v>
      </c>
      <c r="H73" s="1218" t="s">
        <v>3950</v>
      </c>
      <c r="I73" s="1220">
        <v>0.2</v>
      </c>
      <c r="J73" s="1220">
        <v>0</v>
      </c>
      <c r="K73" s="1220">
        <v>0.2</v>
      </c>
      <c r="L73" s="653" t="str">
        <f t="shared" si="67"/>
        <v>657</v>
      </c>
      <c r="M73" s="654" t="str">
        <f t="shared" si="0"/>
        <v>DIR. ADMINIS. PIECES</v>
      </c>
      <c r="N73" s="655">
        <f>+IF(OR($Q73=Parametres!$G$2,$Q73=Parametres!$G$3),I73,C73)</f>
        <v>0.2</v>
      </c>
      <c r="O73" s="655">
        <f>+IF(OR($Q73=Parametres!$G$2,$Q73=Parametres!$G$3),J73,D73)</f>
        <v>0</v>
      </c>
      <c r="P73" s="655">
        <f>+IF(OR($Q73=Parametres!$G$2,$Q73=Parametres!$G$3),K73,E73)</f>
        <v>0.2</v>
      </c>
      <c r="Q73" s="654" t="str">
        <f t="shared" ref="Q73:S73" si="74">+F73</f>
        <v>1-Mémo</v>
      </c>
      <c r="R73" s="653" t="str">
        <f t="shared" si="74"/>
        <v>50</v>
      </c>
      <c r="S73" s="654" t="str">
        <f t="shared" si="74"/>
        <v>_</v>
      </c>
      <c r="T73" s="656" t="str">
        <f>+VLOOKUP($L73,Data_Validation!$A:$D,1,0)</f>
        <v>657</v>
      </c>
      <c r="U73" s="656">
        <f>+VLOOKUP($L73,Data_Validation!$A:$D,3,0)</f>
        <v>0</v>
      </c>
      <c r="V73" s="656">
        <f>+VLOOKUP($L73,Data_Validation!$A:$D,4,0)</f>
        <v>0</v>
      </c>
      <c r="W73" s="656" t="str">
        <f>+VLOOKUP($L73,Data_Validation!$A:$E,5,0)</f>
        <v>$</v>
      </c>
      <c r="X73" s="656">
        <f>+VLOOKUP($L73,Data_Validation!$A:$F,6,0)</f>
        <v>0</v>
      </c>
    </row>
    <row r="74" spans="1:24" ht="15" customHeight="1">
      <c r="A74" s="1218" t="s">
        <v>810</v>
      </c>
      <c r="B74" s="1218" t="s">
        <v>2635</v>
      </c>
      <c r="C74" s="1219"/>
      <c r="D74" s="1219"/>
      <c r="E74" s="1219"/>
      <c r="F74" s="1218" t="s">
        <v>2</v>
      </c>
      <c r="G74" s="1218" t="s">
        <v>785</v>
      </c>
      <c r="H74" s="1218" t="s">
        <v>3950</v>
      </c>
      <c r="I74" s="1220">
        <v>1</v>
      </c>
      <c r="J74" s="1220">
        <v>0</v>
      </c>
      <c r="K74" s="1220">
        <v>1</v>
      </c>
      <c r="L74" s="653" t="str">
        <f t="shared" si="67"/>
        <v>661</v>
      </c>
      <c r="M74" s="654" t="str">
        <f t="shared" si="0"/>
        <v>PERSONELS CLER. NEUFS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t="str">
        <f t="shared" si="75"/>
        <v>_</v>
      </c>
      <c r="T74" s="656" t="str">
        <f>+VLOOKUP($L74,Data_Validation!$A:$D,1,0)</f>
        <v>661</v>
      </c>
      <c r="U74" s="656">
        <f>+VLOOKUP($L74,Data_Validation!$A:$D,3,0)</f>
        <v>0</v>
      </c>
      <c r="V74" s="656">
        <f>+VLOOKUP($L74,Data_Validation!$A:$D,4,0)</f>
        <v>0</v>
      </c>
      <c r="W74" s="656" t="str">
        <f>+VLOOKUP($L74,Data_Validation!$A:$E,5,0)</f>
        <v>$</v>
      </c>
      <c r="X74" s="656">
        <f>+VLOOKUP($L74,Data_Validation!$A:$F,6,0)</f>
        <v>0</v>
      </c>
    </row>
    <row r="75" spans="1:24" ht="15" customHeight="1">
      <c r="A75" s="1218" t="s">
        <v>811</v>
      </c>
      <c r="B75" s="1218" t="s">
        <v>2638</v>
      </c>
      <c r="C75" s="1219"/>
      <c r="D75" s="1219"/>
      <c r="E75" s="1219"/>
      <c r="F75" s="1218" t="s">
        <v>2</v>
      </c>
      <c r="G75" s="1218" t="s">
        <v>785</v>
      </c>
      <c r="H75" s="1218" t="s">
        <v>3950</v>
      </c>
      <c r="I75" s="1220">
        <v>1</v>
      </c>
      <c r="J75" s="1220">
        <v>0</v>
      </c>
      <c r="K75" s="1220">
        <v>1</v>
      </c>
      <c r="L75" s="653" t="str">
        <f t="shared" si="67"/>
        <v>662</v>
      </c>
      <c r="M75" s="654" t="str">
        <f t="shared" si="0"/>
        <v>PERSONELS CLER. USAGES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t="str">
        <f t="shared" si="76"/>
        <v>_</v>
      </c>
      <c r="T75" s="656" t="str">
        <f>+VLOOKUP($L75,Data_Validation!$A:$D,1,0)</f>
        <v>662</v>
      </c>
      <c r="U75" s="656">
        <f>+VLOOKUP($L75,Data_Validation!$A:$D,3,0)</f>
        <v>0</v>
      </c>
      <c r="V75" s="656">
        <f>+VLOOKUP($L75,Data_Validation!$A:$D,4,0)</f>
        <v>0</v>
      </c>
      <c r="W75" s="656" t="str">
        <f>+VLOOKUP($L75,Data_Validation!$A:$E,5,0)</f>
        <v>$</v>
      </c>
      <c r="X75" s="656">
        <f>+VLOOKUP($L75,Data_Validation!$A:$F,6,0)</f>
        <v>0</v>
      </c>
    </row>
    <row r="76" spans="1:24" ht="15" customHeight="1">
      <c r="A76" s="1218" t="s">
        <v>812</v>
      </c>
      <c r="B76" s="1218" t="s">
        <v>2641</v>
      </c>
      <c r="C76" s="1219"/>
      <c r="D76" s="1219"/>
      <c r="E76" s="1219"/>
      <c r="F76" s="1218" t="s">
        <v>2</v>
      </c>
      <c r="G76" s="1218" t="s">
        <v>785</v>
      </c>
      <c r="H76" s="1218" t="s">
        <v>3950</v>
      </c>
      <c r="I76" s="1220">
        <v>1</v>
      </c>
      <c r="J76" s="1220">
        <v>0</v>
      </c>
      <c r="K76" s="1220">
        <v>1</v>
      </c>
      <c r="L76" s="653" t="str">
        <f t="shared" si="67"/>
        <v>664</v>
      </c>
      <c r="M76" s="654" t="str">
        <f t="shared" si="0"/>
        <v>PERSONELS CLER.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t="str">
        <f t="shared" si="77"/>
        <v>_</v>
      </c>
      <c r="T76" s="656" t="str">
        <f>+VLOOKUP($L76,Data_Validation!$A:$D,1,0)</f>
        <v>664</v>
      </c>
      <c r="U76" s="656">
        <f>+VLOOKUP($L76,Data_Validation!$A:$D,3,0)</f>
        <v>0</v>
      </c>
      <c r="V76" s="656">
        <f>+VLOOKUP($L76,Data_Validation!$A:$D,4,0)</f>
        <v>0</v>
      </c>
      <c r="W76" s="656" t="str">
        <f>+VLOOKUP($L76,Data_Validation!$A:$E,5,0)</f>
        <v>$</v>
      </c>
      <c r="X76" s="656">
        <f>+VLOOKUP($L76,Data_Validation!$A:$F,6,0)</f>
        <v>0</v>
      </c>
    </row>
    <row r="77" spans="1:24" ht="15" customHeight="1">
      <c r="A77" s="1218" t="s">
        <v>813</v>
      </c>
      <c r="B77" s="1218" t="s">
        <v>2644</v>
      </c>
      <c r="C77" s="1219"/>
      <c r="D77" s="1219"/>
      <c r="E77" s="1219"/>
      <c r="F77" s="1218" t="s">
        <v>2</v>
      </c>
      <c r="G77" s="1218" t="s">
        <v>785</v>
      </c>
      <c r="H77" s="1218" t="s">
        <v>3950</v>
      </c>
      <c r="I77" s="1220">
        <v>1</v>
      </c>
      <c r="J77" s="1220">
        <v>0</v>
      </c>
      <c r="K77" s="1220">
        <v>1</v>
      </c>
      <c r="L77" s="653" t="str">
        <f t="shared" si="67"/>
        <v>667</v>
      </c>
      <c r="M77" s="654" t="str">
        <f t="shared" si="0"/>
        <v>PERSONELS CLER. PIECES</v>
      </c>
      <c r="N77" s="655">
        <f>+IF(OR($Q77=Parametres!$G$2,$Q77=Parametres!$G$3),I77,C77)</f>
        <v>1</v>
      </c>
      <c r="O77" s="655">
        <f>+IF(OR($Q77=Parametres!$G$2,$Q77=Parametres!$G$3),J77,D77)</f>
        <v>0</v>
      </c>
      <c r="P77" s="655">
        <f>+IF(OR($Q77=Parametres!$G$2,$Q77=Parametres!$G$3),K77,E77)</f>
        <v>1</v>
      </c>
      <c r="Q77" s="654" t="str">
        <f t="shared" ref="Q77:S77" si="78">+F77</f>
        <v>1-Mémo</v>
      </c>
      <c r="R77" s="653" t="str">
        <f t="shared" si="78"/>
        <v>50</v>
      </c>
      <c r="S77" s="654" t="str">
        <f t="shared" si="78"/>
        <v>_</v>
      </c>
      <c r="T77" s="656" t="str">
        <f>+VLOOKUP($L77,Data_Validation!$A:$D,1,0)</f>
        <v>667</v>
      </c>
      <c r="U77" s="656">
        <f>+VLOOKUP($L77,Data_Validation!$A:$D,3,0)</f>
        <v>0</v>
      </c>
      <c r="V77" s="656">
        <f>+VLOOKUP($L77,Data_Validation!$A:$D,4,0)</f>
        <v>0</v>
      </c>
      <c r="W77" s="656" t="str">
        <f>+VLOOKUP($L77,Data_Validation!$A:$E,5,0)</f>
        <v>$</v>
      </c>
      <c r="X77" s="656">
        <f>+VLOOKUP($L77,Data_Validation!$A:$F,6,0)</f>
        <v>0</v>
      </c>
    </row>
    <row r="78" spans="1:24" ht="15" customHeight="1">
      <c r="A78" s="1218" t="s">
        <v>814</v>
      </c>
      <c r="B78" s="1218" t="s">
        <v>2722</v>
      </c>
      <c r="C78" s="1219"/>
      <c r="D78" s="1219"/>
      <c r="E78" s="1219"/>
      <c r="F78" s="1218" t="s">
        <v>2</v>
      </c>
      <c r="G78" s="1218" t="s">
        <v>3333</v>
      </c>
      <c r="H78" s="1218" t="s">
        <v>3950</v>
      </c>
      <c r="I78" s="1220">
        <v>3</v>
      </c>
      <c r="J78" s="1220">
        <v>0</v>
      </c>
      <c r="K78" s="1220">
        <v>3</v>
      </c>
      <c r="L78" s="653" t="str">
        <f t="shared" si="67"/>
        <v>677</v>
      </c>
      <c r="M78" s="654" t="str">
        <f t="shared" si="0"/>
        <v>VW PIECES</v>
      </c>
      <c r="N78" s="655">
        <f>+IF(OR($Q78=Parametres!$G$2,$Q78=Parametres!$G$3),I78,C78)</f>
        <v>3</v>
      </c>
      <c r="O78" s="655">
        <f>+IF(OR($Q78=Parametres!$G$2,$Q78=Parametres!$G$3),J78,D78)</f>
        <v>0</v>
      </c>
      <c r="P78" s="655">
        <f>+IF(OR($Q78=Parametres!$G$2,$Q78=Parametres!$G$3),K78,E78)</f>
        <v>3</v>
      </c>
      <c r="Q78" s="654" t="str">
        <f t="shared" ref="Q78:S78" si="79">+F78</f>
        <v>1-Mémo</v>
      </c>
      <c r="R78" s="653" t="str">
        <f t="shared" si="79"/>
        <v>67</v>
      </c>
      <c r="S78" s="654" t="str">
        <f t="shared" si="79"/>
        <v>_</v>
      </c>
      <c r="T78" s="656" t="str">
        <f>+VLOOKUP($L78,Data_Validation!$A:$D,1,0)</f>
        <v>677</v>
      </c>
      <c r="U78" s="656">
        <f>+VLOOKUP($L78,Data_Validation!$A:$D,3,0)</f>
        <v>0</v>
      </c>
      <c r="V78" s="656">
        <f>+VLOOKUP($L78,Data_Validation!$A:$D,4,0)</f>
        <v>0</v>
      </c>
      <c r="W78" s="656" t="str">
        <f>+VLOOKUP($L78,Data_Validation!$A:$E,5,0)</f>
        <v>$</v>
      </c>
      <c r="X78" s="656">
        <f>+VLOOKUP($L78,Data_Validation!$A:$F,6,0)</f>
        <v>0</v>
      </c>
    </row>
    <row r="79" spans="1:24" ht="15" customHeight="1">
      <c r="A79" s="1218" t="s">
        <v>815</v>
      </c>
      <c r="B79" s="1218" t="s">
        <v>817</v>
      </c>
      <c r="C79" s="1220">
        <v>106188.07</v>
      </c>
      <c r="D79" s="1220">
        <v>-401742.18</v>
      </c>
      <c r="E79" s="1220">
        <v>-295554.11</v>
      </c>
      <c r="F79" s="1218" t="s">
        <v>816</v>
      </c>
      <c r="G79" s="1218" t="s">
        <v>817</v>
      </c>
      <c r="H79" s="1218" t="s">
        <v>3950</v>
      </c>
      <c r="I79" s="1219"/>
      <c r="J79" s="1219"/>
      <c r="K79" s="1219"/>
      <c r="L79" s="653" t="str">
        <f t="shared" si="67"/>
        <v>1102</v>
      </c>
      <c r="M79" s="654" t="str">
        <f t="shared" si="0"/>
        <v>BANQUE DE COMMERCE C/C</v>
      </c>
      <c r="N79" s="655">
        <f>+IF(OR($Q79=Parametres!$G$2,$Q79=Parametres!$G$3),I79,C79)</f>
        <v>106188.07</v>
      </c>
      <c r="O79" s="655">
        <f>+IF(OR($Q79=Parametres!$G$2,$Q79=Parametres!$G$3),J79,D79)</f>
        <v>-401742.18</v>
      </c>
      <c r="P79" s="655">
        <f>+IF(OR($Q79=Parametres!$G$2,$Q79=Parametres!$G$3),K79,E79)</f>
        <v>-295554.11</v>
      </c>
      <c r="Q79" s="654" t="str">
        <f t="shared" ref="Q79:S79" si="80">+F79</f>
        <v>2-Actifs</v>
      </c>
      <c r="R79" s="653" t="str">
        <f t="shared" si="80"/>
        <v>1102</v>
      </c>
      <c r="S79" s="654" t="str">
        <f t="shared" si="80"/>
        <v>_</v>
      </c>
      <c r="T79" s="656" t="str">
        <f>+VLOOKUP($L79,Data_Validation!$A:$D,1,0)</f>
        <v>1102</v>
      </c>
      <c r="U79" s="656" t="str">
        <f>+VLOOKUP($L79,Data_Validation!$A:$D,3,0)</f>
        <v>Bilan</v>
      </c>
      <c r="V79" s="656" t="str">
        <f>+VLOOKUP($L79,Data_Validation!$A:$D,4,0)</f>
        <v>Encaisse</v>
      </c>
      <c r="W79" s="656" t="str">
        <f>+VLOOKUP($L79,Data_Validation!$A:$E,5,0)</f>
        <v>$</v>
      </c>
      <c r="X79" s="656">
        <f>+VLOOKUP($L79,Data_Validation!$A:$F,6,0)</f>
        <v>0</v>
      </c>
    </row>
    <row r="80" spans="1:24" ht="15.75" customHeight="1">
      <c r="A80" s="1218" t="s">
        <v>3887</v>
      </c>
      <c r="B80" s="1218" t="s">
        <v>3888</v>
      </c>
      <c r="C80" s="1220">
        <v>1483.17</v>
      </c>
      <c r="D80" s="1220">
        <v>-1483.18</v>
      </c>
      <c r="E80" s="1220">
        <v>-0.01</v>
      </c>
      <c r="F80" s="1218" t="s">
        <v>816</v>
      </c>
      <c r="G80" s="1218" t="s">
        <v>817</v>
      </c>
      <c r="H80" s="1218" t="s">
        <v>3950</v>
      </c>
      <c r="I80" s="1219"/>
      <c r="J80" s="1219"/>
      <c r="K80" s="1219"/>
      <c r="L80" s="653" t="str">
        <f t="shared" si="67"/>
        <v>1109</v>
      </c>
      <c r="M80" s="654" t="str">
        <f t="shared" si="0"/>
        <v>KIMOBY</v>
      </c>
      <c r="N80" s="655">
        <f>+IF(OR($Q80=Parametres!$G$2,$Q80=Parametres!$G$3),I80,C80)</f>
        <v>1483.17</v>
      </c>
      <c r="O80" s="655">
        <f>+IF(OR($Q80=Parametres!$G$2,$Q80=Parametres!$G$3),J80,D80)</f>
        <v>-1483.18</v>
      </c>
      <c r="P80" s="655">
        <f>+IF(OR($Q80=Parametres!$G$2,$Q80=Parametres!$G$3),K80,E80)</f>
        <v>-0.01</v>
      </c>
      <c r="Q80" s="654" t="str">
        <f t="shared" ref="Q80:S80" si="81">+F80</f>
        <v>2-Actifs</v>
      </c>
      <c r="R80" s="653" t="str">
        <f t="shared" si="81"/>
        <v>1102</v>
      </c>
      <c r="S80" s="654" t="str">
        <f t="shared" si="81"/>
        <v>_</v>
      </c>
      <c r="T80" s="656" t="str">
        <f>+VLOOKUP($L80,Data_Validation!$A:$D,1,0)</f>
        <v>1109</v>
      </c>
      <c r="U80" s="656" t="str">
        <f>+VLOOKUP($L80,Data_Validation!$A:$D,3,0)</f>
        <v>Bilan</v>
      </c>
      <c r="V80" s="656" t="str">
        <f>+VLOOKUP($L80,Data_Validation!$A:$D,4,0)</f>
        <v>Encaisse</v>
      </c>
      <c r="W80" s="656" t="str">
        <f>+VLOOKUP($L80,Data_Validation!$A:$E,5,0)</f>
        <v>$</v>
      </c>
      <c r="X80" s="656">
        <f>+VLOOKUP($L80,Data_Validation!$A:$F,6,0)</f>
        <v>0</v>
      </c>
    </row>
    <row r="81" spans="1:24" ht="15" customHeight="1">
      <c r="A81" s="1218" t="s">
        <v>819</v>
      </c>
      <c r="B81" s="1218" t="s">
        <v>3360</v>
      </c>
      <c r="C81" s="1220">
        <v>400000</v>
      </c>
      <c r="D81" s="1220">
        <v>0</v>
      </c>
      <c r="E81" s="1220">
        <v>400000</v>
      </c>
      <c r="F81" s="1218" t="s">
        <v>816</v>
      </c>
      <c r="G81" s="1218" t="s">
        <v>817</v>
      </c>
      <c r="H81" s="1218" t="s">
        <v>3950</v>
      </c>
      <c r="I81" s="1199"/>
      <c r="J81" s="1199"/>
      <c r="K81" s="1199"/>
      <c r="L81" s="653" t="str">
        <f t="shared" si="67"/>
        <v>1111</v>
      </c>
      <c r="M81" s="654" t="str">
        <f t="shared" si="0"/>
        <v>REMBOURSEMENTS FLOORPLAN</v>
      </c>
      <c r="N81" s="655">
        <f>+IF(OR($Q81=Parametres!$G$2,$Q81=Parametres!$G$3),I81,C81)</f>
        <v>400000</v>
      </c>
      <c r="O81" s="655">
        <f>+IF(OR($Q81=Parametres!$G$2,$Q81=Parametres!$G$3),J81,D81)</f>
        <v>0</v>
      </c>
      <c r="P81" s="655">
        <f>+IF(OR($Q81=Parametres!$G$2,$Q81=Parametres!$G$3),K81,E81)</f>
        <v>400000</v>
      </c>
      <c r="Q81" s="654" t="str">
        <f t="shared" ref="Q81:S81" si="82">+F81</f>
        <v>2-Actifs</v>
      </c>
      <c r="R81" s="653" t="str">
        <f t="shared" si="82"/>
        <v>1102</v>
      </c>
      <c r="S81" s="654" t="str">
        <f t="shared" si="82"/>
        <v>_</v>
      </c>
      <c r="T81" s="656" t="str">
        <f>+VLOOKUP($L81,Data_Validation!$A:$D,1,0)</f>
        <v>1111</v>
      </c>
      <c r="U81" s="656" t="str">
        <f>+VLOOKUP($L81,Data_Validation!$A:$D,3,0)</f>
        <v>Bilan</v>
      </c>
      <c r="V81" s="656" t="str">
        <f>+VLOOKUP($L81,Data_Validation!$A:$D,4,0)</f>
        <v>Encaisse</v>
      </c>
      <c r="W81" s="656" t="str">
        <f>+VLOOKUP($L81,Data_Validation!$A:$E,5,0)</f>
        <v>$</v>
      </c>
      <c r="X81" s="656">
        <f>+VLOOKUP($L81,Data_Validation!$A:$F,6,0)</f>
        <v>0</v>
      </c>
    </row>
    <row r="82" spans="1:24" ht="15" customHeight="1">
      <c r="A82" s="1218" t="s">
        <v>820</v>
      </c>
      <c r="B82" s="1218" t="s">
        <v>1452</v>
      </c>
      <c r="C82" s="1220">
        <v>308.82</v>
      </c>
      <c r="D82" s="1220">
        <v>0</v>
      </c>
      <c r="E82" s="1220">
        <v>308.82</v>
      </c>
      <c r="F82" s="1218" t="s">
        <v>816</v>
      </c>
      <c r="G82" s="1218" t="s">
        <v>817</v>
      </c>
      <c r="H82" s="1218" t="s">
        <v>3950</v>
      </c>
      <c r="I82" s="1199"/>
      <c r="J82" s="1199"/>
      <c r="K82" s="1199"/>
      <c r="L82" s="653" t="str">
        <f t="shared" si="67"/>
        <v>1182</v>
      </c>
      <c r="M82" s="654" t="str">
        <f t="shared" si="0"/>
        <v>PETITE CAISSE</v>
      </c>
      <c r="N82" s="655">
        <f>+IF(OR($Q82=Parametres!$G$2,$Q82=Parametres!$G$3),I82,C82)</f>
        <v>308.82</v>
      </c>
      <c r="O82" s="655">
        <f>+IF(OR($Q82=Parametres!$G$2,$Q82=Parametres!$G$3),J82,D82)</f>
        <v>0</v>
      </c>
      <c r="P82" s="655">
        <f>+IF(OR($Q82=Parametres!$G$2,$Q82=Parametres!$G$3),K82,E82)</f>
        <v>308.82</v>
      </c>
      <c r="Q82" s="654" t="str">
        <f t="shared" ref="Q82:S82" si="83">+F82</f>
        <v>2-Actifs</v>
      </c>
      <c r="R82" s="653" t="str">
        <f t="shared" si="83"/>
        <v>1102</v>
      </c>
      <c r="S82" s="654" t="str">
        <f t="shared" si="83"/>
        <v>_</v>
      </c>
      <c r="T82" s="656" t="str">
        <f>+VLOOKUP($L82,Data_Validation!$A:$D,1,0)</f>
        <v>1182</v>
      </c>
      <c r="U82" s="656" t="str">
        <f>+VLOOKUP($L82,Data_Validation!$A:$D,3,0)</f>
        <v>Bilan</v>
      </c>
      <c r="V82" s="656" t="str">
        <f>+VLOOKUP($L82,Data_Validation!$A:$D,4,0)</f>
        <v>Encaisse</v>
      </c>
      <c r="W82" s="656" t="str">
        <f>+VLOOKUP($L82,Data_Validation!$A:$E,5,0)</f>
        <v>$</v>
      </c>
      <c r="X82" s="656">
        <f>+VLOOKUP($L82,Data_Validation!$A:$F,6,0)</f>
        <v>0</v>
      </c>
    </row>
    <row r="83" spans="1:24" ht="15" customHeight="1">
      <c r="A83" s="1218" t="s">
        <v>3666</v>
      </c>
      <c r="B83" s="1218" t="s">
        <v>3362</v>
      </c>
      <c r="C83" s="1220">
        <v>33.33</v>
      </c>
      <c r="D83" s="1220">
        <v>-33.33</v>
      </c>
      <c r="E83" s="1220">
        <v>0</v>
      </c>
      <c r="F83" s="1218" t="s">
        <v>816</v>
      </c>
      <c r="G83" s="1218" t="s">
        <v>821</v>
      </c>
      <c r="H83" s="1218" t="s">
        <v>3950</v>
      </c>
      <c r="I83" s="1199"/>
      <c r="J83" s="1199"/>
      <c r="K83" s="1199"/>
      <c r="L83" s="653" t="str">
        <f t="shared" si="67"/>
        <v>1189</v>
      </c>
      <c r="M83" s="654" t="str">
        <f t="shared" si="0"/>
        <v>VENTE AU COMPTANT (PIECES)</v>
      </c>
      <c r="N83" s="655">
        <f>+IF(OR($Q83=Parametres!$G$2,$Q83=Parametres!$G$3),I83,C83)</f>
        <v>33.33</v>
      </c>
      <c r="O83" s="655">
        <f>+IF(OR($Q83=Parametres!$G$2,$Q83=Parametres!$G$3),J83,D83)</f>
        <v>-33.33</v>
      </c>
      <c r="P83" s="655">
        <f>+IF(OR($Q83=Parametres!$G$2,$Q83=Parametres!$G$3),K83,E83)</f>
        <v>0</v>
      </c>
      <c r="Q83" s="654" t="str">
        <f t="shared" ref="Q83:S83" si="84">+F83</f>
        <v>2-Actifs</v>
      </c>
      <c r="R83" s="653" t="str">
        <f t="shared" si="84"/>
        <v>1382</v>
      </c>
      <c r="S83" s="654" t="str">
        <f t="shared" si="84"/>
        <v>_</v>
      </c>
      <c r="T83" s="656" t="str">
        <f>+VLOOKUP($L83,Data_Validation!$A:$D,1,0)</f>
        <v>1189</v>
      </c>
      <c r="U83" s="656" t="str">
        <f>+VLOOKUP($L83,Data_Validation!$A:$D,3,0)</f>
        <v>Bilan</v>
      </c>
      <c r="V83" s="656" t="str">
        <f>+VLOOKUP($L83,Data_Validation!$A:$D,4,0)</f>
        <v>Encaisse</v>
      </c>
      <c r="W83" s="656" t="str">
        <f>+VLOOKUP($L83,Data_Validation!$A:$E,5,0)</f>
        <v>$</v>
      </c>
      <c r="X83" s="656">
        <f>+VLOOKUP($L83,Data_Validation!$A:$F,6,0)</f>
        <v>0</v>
      </c>
    </row>
    <row r="84" spans="1:24" ht="15.75" customHeight="1">
      <c r="A84" s="1218" t="s">
        <v>822</v>
      </c>
      <c r="B84" s="1218" t="s">
        <v>823</v>
      </c>
      <c r="C84" s="1220">
        <v>936393.66</v>
      </c>
      <c r="D84" s="1220">
        <v>55548.41</v>
      </c>
      <c r="E84" s="1220">
        <v>991942.07</v>
      </c>
      <c r="F84" s="1218" t="s">
        <v>816</v>
      </c>
      <c r="G84" s="1218" t="s">
        <v>823</v>
      </c>
      <c r="H84" s="1218" t="s">
        <v>3950</v>
      </c>
      <c r="I84" s="1199"/>
      <c r="J84" s="1199"/>
      <c r="K84" s="1199"/>
      <c r="L84" s="653" t="str">
        <f t="shared" si="67"/>
        <v>1202</v>
      </c>
      <c r="M84" s="654" t="str">
        <f t="shared" si="0"/>
        <v>CONTRATS EN TRANSIT</v>
      </c>
      <c r="N84" s="655">
        <f>+IF(OR($Q84=Parametres!$G$2,$Q84=Parametres!$G$3),I84,C84)</f>
        <v>936393.66</v>
      </c>
      <c r="O84" s="655">
        <f>+IF(OR($Q84=Parametres!$G$2,$Q84=Parametres!$G$3),J84,D84)</f>
        <v>55548.41</v>
      </c>
      <c r="P84" s="661">
        <f>+IF(OR($Q84=Parametres!$G$2,$Q84=Parametres!$G$3),K84,E84)</f>
        <v>991942.07</v>
      </c>
      <c r="Q84" s="654" t="str">
        <f t="shared" ref="Q84:S84" si="85">+F84</f>
        <v>2-Actifs</v>
      </c>
      <c r="R84" s="653" t="str">
        <f t="shared" si="85"/>
        <v>1202</v>
      </c>
      <c r="S84" s="654" t="str">
        <f t="shared" si="85"/>
        <v>_</v>
      </c>
      <c r="T84" s="656" t="str">
        <f>+VLOOKUP($L84,Data_Validation!$A:$D,1,0)</f>
        <v>1202</v>
      </c>
      <c r="U84" s="656" t="str">
        <f>+VLOOKUP($L84,Data_Validation!$A:$D,3,0)</f>
        <v>Bilan</v>
      </c>
      <c r="V84" s="656" t="str">
        <f>+VLOOKUP($L84,Data_Validation!$A:$D,4,0)</f>
        <v>Recevables Contrats en Transit</v>
      </c>
      <c r="W84" s="656" t="str">
        <f>+VLOOKUP($L84,Data_Validation!$A:$E,5,0)</f>
        <v>$</v>
      </c>
      <c r="X84" s="656">
        <f>+VLOOKUP($L84,Data_Validation!$A:$F,6,0)</f>
        <v>0</v>
      </c>
    </row>
    <row r="85" spans="1:24" ht="15" customHeight="1">
      <c r="A85" s="1218" t="s">
        <v>824</v>
      </c>
      <c r="B85" s="1218" t="s">
        <v>825</v>
      </c>
      <c r="C85" s="1220">
        <v>-98574.87</v>
      </c>
      <c r="D85" s="1220">
        <v>92486.14</v>
      </c>
      <c r="E85" s="1220">
        <v>-6088.73</v>
      </c>
      <c r="F85" s="1218" t="s">
        <v>816</v>
      </c>
      <c r="G85" s="1218" t="s">
        <v>825</v>
      </c>
      <c r="H85" s="1218" t="s">
        <v>3950</v>
      </c>
      <c r="I85" s="1199"/>
      <c r="J85" s="1199"/>
      <c r="K85" s="1199"/>
      <c r="L85" s="653" t="str">
        <f t="shared" si="67"/>
        <v>1302</v>
      </c>
      <c r="M85" s="654" t="str">
        <f t="shared" si="0"/>
        <v>RECEVABLE-CLIENT-VEHICULE</v>
      </c>
      <c r="N85" s="655">
        <f>+IF(OR($Q85=Parametres!$G$2,$Q85=Parametres!$G$3),I85,C85)</f>
        <v>-98574.87</v>
      </c>
      <c r="O85" s="655">
        <f>+IF(OR($Q85=Parametres!$G$2,$Q85=Parametres!$G$3),J85,D85)</f>
        <v>92486.14</v>
      </c>
      <c r="P85" s="661">
        <f>+IF(OR($Q85=Parametres!$G$2,$Q85=Parametres!$G$3),K85,E85)</f>
        <v>-6088.73</v>
      </c>
      <c r="Q85" s="654" t="str">
        <f t="shared" ref="Q85:S85" si="86">+F85</f>
        <v>2-Actifs</v>
      </c>
      <c r="R85" s="653" t="str">
        <f t="shared" si="86"/>
        <v>1302</v>
      </c>
      <c r="S85" s="654" t="str">
        <f t="shared" si="86"/>
        <v>_</v>
      </c>
      <c r="T85" s="656" t="str">
        <f>+VLOOKUP($L85,Data_Validation!$A:$D,1,0)</f>
        <v>1302</v>
      </c>
      <c r="U85" s="656" t="str">
        <f>+VLOOKUP($L85,Data_Validation!$A:$D,3,0)</f>
        <v>Bilan</v>
      </c>
      <c r="V85" s="656" t="str">
        <f>+VLOOKUP($L85,Data_Validation!$A:$D,4,0)</f>
        <v>Recevables Véhicules</v>
      </c>
      <c r="W85" s="656" t="str">
        <f>+VLOOKUP($L85,Data_Validation!$A:$E,5,0)</f>
        <v>$</v>
      </c>
      <c r="X85" s="656">
        <f>+VLOOKUP($L85,Data_Validation!$A:$F,6,0)</f>
        <v>0</v>
      </c>
    </row>
    <row r="86" spans="1:24" ht="15" customHeight="1">
      <c r="A86" s="1218" t="s">
        <v>826</v>
      </c>
      <c r="B86" s="1218" t="s">
        <v>1459</v>
      </c>
      <c r="C86" s="1220">
        <v>444172.23</v>
      </c>
      <c r="D86" s="1220">
        <v>53670.85</v>
      </c>
      <c r="E86" s="1220">
        <v>497843.08</v>
      </c>
      <c r="F86" s="1218" t="s">
        <v>816</v>
      </c>
      <c r="G86" s="1218" t="s">
        <v>825</v>
      </c>
      <c r="H86" s="1218" t="s">
        <v>3950</v>
      </c>
      <c r="I86" s="1199"/>
      <c r="J86" s="1199"/>
      <c r="K86" s="1199"/>
      <c r="L86" s="653" t="str">
        <f t="shared" si="67"/>
        <v>1303</v>
      </c>
      <c r="M86" s="654" t="str">
        <f t="shared" si="0"/>
        <v>RECEVABLES LPA ET AU GROS</v>
      </c>
      <c r="N86" s="655">
        <f>+IF(OR($Q86=Parametres!$G$2,$Q86=Parametres!$G$3),I86,C86)</f>
        <v>444172.23</v>
      </c>
      <c r="O86" s="655">
        <f>+IF(OR($Q86=Parametres!$G$2,$Q86=Parametres!$G$3),J86,D86)</f>
        <v>53670.85</v>
      </c>
      <c r="P86" s="661">
        <f>+IF(OR($Q86=Parametres!$G$2,$Q86=Parametres!$G$3),K86,E86)</f>
        <v>497843.08</v>
      </c>
      <c r="Q86" s="654" t="str">
        <f t="shared" ref="Q86:S86" si="87">+F86</f>
        <v>2-Actifs</v>
      </c>
      <c r="R86" s="653" t="str">
        <f t="shared" si="87"/>
        <v>1302</v>
      </c>
      <c r="S86" s="654" t="str">
        <f t="shared" si="87"/>
        <v>_</v>
      </c>
      <c r="T86" s="656" t="str">
        <f>+VLOOKUP($L86,Data_Validation!$A:$D,1,0)</f>
        <v>1303</v>
      </c>
      <c r="U86" s="656" t="str">
        <f>+VLOOKUP($L86,Data_Validation!$A:$D,3,0)</f>
        <v>Bilan</v>
      </c>
      <c r="V86" s="656" t="str">
        <f>+VLOOKUP($L86,Data_Validation!$A:$D,4,0)</f>
        <v>Recevables Véhicules</v>
      </c>
      <c r="W86" s="656" t="str">
        <f>+VLOOKUP($L86,Data_Validation!$A:$E,5,0)</f>
        <v>$</v>
      </c>
      <c r="X86" s="656">
        <f>+VLOOKUP($L86,Data_Validation!$A:$F,6,0)</f>
        <v>0</v>
      </c>
    </row>
    <row r="87" spans="1:24" ht="15" customHeight="1">
      <c r="A87" s="1218" t="s">
        <v>827</v>
      </c>
      <c r="B87" s="1218" t="s">
        <v>828</v>
      </c>
      <c r="C87" s="1220">
        <v>225035.02</v>
      </c>
      <c r="D87" s="1220">
        <v>-6626.98</v>
      </c>
      <c r="E87" s="1220">
        <v>218408.04</v>
      </c>
      <c r="F87" s="1218" t="s">
        <v>816</v>
      </c>
      <c r="G87" s="1218" t="s">
        <v>828</v>
      </c>
      <c r="H87" s="1218" t="s">
        <v>3950</v>
      </c>
      <c r="I87" s="1199"/>
      <c r="J87" s="1199"/>
      <c r="K87" s="1199"/>
      <c r="L87" s="653" t="str">
        <f t="shared" si="67"/>
        <v>1304</v>
      </c>
      <c r="M87" s="654" t="str">
        <f t="shared" si="0"/>
        <v>RECEVABLES PIECES &amp; SERVICE</v>
      </c>
      <c r="N87" s="655">
        <f>+IF(OR($Q87=Parametres!$G$2,$Q87=Parametres!$G$3),I87,C87)</f>
        <v>225035.02</v>
      </c>
      <c r="O87" s="655">
        <f>+IF(OR($Q87=Parametres!$G$2,$Q87=Parametres!$G$3),J87,D87)</f>
        <v>-6626.98</v>
      </c>
      <c r="P87" s="661">
        <f>+IF(OR($Q87=Parametres!$G$2,$Q87=Parametres!$G$3),K87,E87)</f>
        <v>218408.04</v>
      </c>
      <c r="Q87" s="654" t="str">
        <f t="shared" ref="Q87:S87" si="88">+F87</f>
        <v>2-Actifs</v>
      </c>
      <c r="R87" s="653" t="str">
        <f t="shared" si="88"/>
        <v>1304</v>
      </c>
      <c r="S87" s="654" t="str">
        <f t="shared" si="88"/>
        <v>_</v>
      </c>
      <c r="T87" s="656" t="str">
        <f>+VLOOKUP($L87,Data_Validation!$A:$D,1,0)</f>
        <v>1304</v>
      </c>
      <c r="U87" s="656" t="str">
        <f>+VLOOKUP($L87,Data_Validation!$A:$D,3,0)</f>
        <v>Bilan</v>
      </c>
      <c r="V87" s="656" t="str">
        <f>+VLOOKUP($L87,Data_Validation!$A:$D,4,0)</f>
        <v>Recevables Pièces et Service</v>
      </c>
      <c r="W87" s="656" t="str">
        <f>+VLOOKUP($L87,Data_Validation!$A:$E,5,0)</f>
        <v>$</v>
      </c>
      <c r="X87" s="656">
        <f>+VLOOKUP($L87,Data_Validation!$A:$F,6,0)</f>
        <v>0</v>
      </c>
    </row>
    <row r="88" spans="1:24" ht="15" customHeight="1">
      <c r="A88" s="1218" t="s">
        <v>829</v>
      </c>
      <c r="B88" s="1218" t="s">
        <v>1464</v>
      </c>
      <c r="C88" s="1220">
        <v>-1371.54</v>
      </c>
      <c r="D88" s="1220">
        <v>12057.81</v>
      </c>
      <c r="E88" s="1220">
        <v>10686.27</v>
      </c>
      <c r="F88" s="1218" t="s">
        <v>816</v>
      </c>
      <c r="G88" s="1218" t="s">
        <v>828</v>
      </c>
      <c r="H88" s="1218" t="s">
        <v>3950</v>
      </c>
      <c r="I88" s="1199"/>
      <c r="J88" s="1199"/>
      <c r="K88" s="1199"/>
      <c r="L88" s="653" t="str">
        <f t="shared" si="67"/>
        <v>1305</v>
      </c>
      <c r="M88" s="654" t="str">
        <f t="shared" si="0"/>
        <v>RECEVABLES CARROSSERIE</v>
      </c>
      <c r="N88" s="655">
        <f>+IF(OR($Q88=Parametres!$G$2,$Q88=Parametres!$G$3),I88,C88)</f>
        <v>-1371.54</v>
      </c>
      <c r="O88" s="655">
        <f>+IF(OR($Q88=Parametres!$G$2,$Q88=Parametres!$G$3),J88,D88)</f>
        <v>12057.81</v>
      </c>
      <c r="P88" s="655">
        <f>+IF(OR($Q88=Parametres!$G$2,$Q88=Parametres!$G$3),K88,E88)</f>
        <v>10686.27</v>
      </c>
      <c r="Q88" s="654" t="str">
        <f t="shared" ref="Q88:S88" si="89">+F88</f>
        <v>2-Actifs</v>
      </c>
      <c r="R88" s="653" t="str">
        <f t="shared" si="89"/>
        <v>1304</v>
      </c>
      <c r="S88" s="654" t="str">
        <f t="shared" si="89"/>
        <v>_</v>
      </c>
      <c r="T88" s="656" t="str">
        <f>+VLOOKUP($L88,Data_Validation!$A:$D,1,0)</f>
        <v>1305</v>
      </c>
      <c r="U88" s="656" t="str">
        <f>+VLOOKUP($L88,Data_Validation!$A:$D,3,0)</f>
        <v>Bilan</v>
      </c>
      <c r="V88" s="656" t="str">
        <f>+VLOOKUP($L88,Data_Validation!$A:$D,4,0)</f>
        <v>Recevables Carrosserie</v>
      </c>
      <c r="W88" s="656" t="str">
        <f>+VLOOKUP($L88,Data_Validation!$A:$E,5,0)</f>
        <v>$</v>
      </c>
      <c r="X88" s="656">
        <f>+VLOOKUP($L88,Data_Validation!$A:$F,6,0)</f>
        <v>0</v>
      </c>
    </row>
    <row r="89" spans="1:24" ht="15" customHeight="1">
      <c r="A89" s="1218" t="s">
        <v>830</v>
      </c>
      <c r="B89" s="1218" t="s">
        <v>3363</v>
      </c>
      <c r="C89" s="1220">
        <v>26946.53</v>
      </c>
      <c r="D89" s="1220">
        <v>-715.25</v>
      </c>
      <c r="E89" s="1220">
        <v>26231.279999999999</v>
      </c>
      <c r="F89" s="1218" t="s">
        <v>816</v>
      </c>
      <c r="G89" s="1218" t="s">
        <v>828</v>
      </c>
      <c r="H89" s="1218" t="s">
        <v>3950</v>
      </c>
      <c r="I89" s="1199"/>
      <c r="J89" s="1199"/>
      <c r="K89" s="1199"/>
      <c r="L89" s="653" t="str">
        <f t="shared" si="67"/>
        <v>1306</v>
      </c>
      <c r="M89" s="654" t="str">
        <f t="shared" si="0"/>
        <v>RECEVABLES INTERCO</v>
      </c>
      <c r="N89" s="655">
        <f>+IF(OR($Q89=Parametres!$G$2,$Q89=Parametres!$G$3),I89,C89)</f>
        <v>26946.53</v>
      </c>
      <c r="O89" s="659">
        <f>+IF(OR($Q89=Parametres!$G$2,$Q89=Parametres!$G$3),J89,D89)</f>
        <v>-715.25</v>
      </c>
      <c r="P89" s="655">
        <f>+IF(OR($Q89=Parametres!$G$2,$Q89=Parametres!$G$3),K89,E89)</f>
        <v>26231.279999999999</v>
      </c>
      <c r="Q89" s="654" t="str">
        <f t="shared" ref="Q89:S89" si="90">+F89</f>
        <v>2-Actifs</v>
      </c>
      <c r="R89" s="653" t="str">
        <f t="shared" si="90"/>
        <v>1304</v>
      </c>
      <c r="S89" s="654" t="str">
        <f t="shared" si="90"/>
        <v>_</v>
      </c>
      <c r="T89" s="656" t="str">
        <f>+VLOOKUP($L89,Data_Validation!$A:$D,1,0)</f>
        <v>1306</v>
      </c>
      <c r="U89" s="656" t="str">
        <f>+VLOOKUP($L89,Data_Validation!$A:$D,3,0)</f>
        <v>Bilan</v>
      </c>
      <c r="V89" s="656" t="str">
        <f>+VLOOKUP($L89,Data_Validation!$A:$D,4,0)</f>
        <v>Recevables Intercos</v>
      </c>
      <c r="W89" s="656" t="str">
        <f>+VLOOKUP($L89,Data_Validation!$A:$E,5,0)</f>
        <v>$</v>
      </c>
      <c r="X89" s="656">
        <f>+VLOOKUP($L89,Data_Validation!$A:$F,6,0)</f>
        <v>0</v>
      </c>
    </row>
    <row r="90" spans="1:24" ht="15" customHeight="1">
      <c r="A90" s="1218" t="s">
        <v>831</v>
      </c>
      <c r="B90" s="1218" t="s">
        <v>3364</v>
      </c>
      <c r="C90" s="1220">
        <v>0</v>
      </c>
      <c r="D90" s="1220">
        <v>91400</v>
      </c>
      <c r="E90" s="1220">
        <v>91400</v>
      </c>
      <c r="F90" s="1218" t="s">
        <v>816</v>
      </c>
      <c r="G90" s="1218" t="s">
        <v>825</v>
      </c>
      <c r="H90" s="1218" t="s">
        <v>3950</v>
      </c>
      <c r="I90" s="1199"/>
      <c r="J90" s="1199"/>
      <c r="K90" s="1199"/>
      <c r="L90" s="653" t="str">
        <f t="shared" si="67"/>
        <v>1307</v>
      </c>
      <c r="M90" s="654" t="str">
        <f t="shared" si="0"/>
        <v>RECEVABLES INTERCO VEHICULE</v>
      </c>
      <c r="N90" s="655">
        <f>+IF(OR($Q90=Parametres!$G$2,$Q90=Parametres!$G$3),I90,C90)</f>
        <v>0</v>
      </c>
      <c r="O90" s="655">
        <f>+IF(OR($Q90=Parametres!$G$2,$Q90=Parametres!$G$3),J90,D90)</f>
        <v>91400</v>
      </c>
      <c r="P90" s="662">
        <f>+IF(OR($Q90=Parametres!$G$2,$Q90=Parametres!$G$3),K90,E90)</f>
        <v>91400</v>
      </c>
      <c r="Q90" s="654" t="str">
        <f t="shared" ref="Q90:S90" si="91">+F90</f>
        <v>2-Actifs</v>
      </c>
      <c r="R90" s="653" t="str">
        <f t="shared" si="91"/>
        <v>1302</v>
      </c>
      <c r="S90" s="654" t="str">
        <f t="shared" si="91"/>
        <v>_</v>
      </c>
      <c r="T90" s="656" t="str">
        <f>+VLOOKUP($L90,Data_Validation!$A:$D,1,0)</f>
        <v>1307</v>
      </c>
      <c r="U90" s="656" t="str">
        <f>+VLOOKUP($L90,Data_Validation!$A:$D,3,0)</f>
        <v>Bilan</v>
      </c>
      <c r="V90" s="656" t="str">
        <f>+VLOOKUP($L90,Data_Validation!$A:$D,4,0)</f>
        <v>Recevables Intercos</v>
      </c>
      <c r="W90" s="656" t="str">
        <f>+VLOOKUP($L90,Data_Validation!$A:$E,5,0)</f>
        <v>$</v>
      </c>
      <c r="X90" s="656">
        <f>+VLOOKUP($L90,Data_Validation!$A:$F,6,0)</f>
        <v>0</v>
      </c>
    </row>
    <row r="91" spans="1:24" ht="15" customHeight="1">
      <c r="A91" s="1218" t="s">
        <v>832</v>
      </c>
      <c r="B91" s="1218" t="s">
        <v>1467</v>
      </c>
      <c r="C91" s="1220">
        <v>166665</v>
      </c>
      <c r="D91" s="1220">
        <v>26475</v>
      </c>
      <c r="E91" s="1220">
        <v>193140</v>
      </c>
      <c r="F91" s="1218" t="s">
        <v>816</v>
      </c>
      <c r="G91" s="1218" t="s">
        <v>833</v>
      </c>
      <c r="H91" s="1218" t="s">
        <v>3950</v>
      </c>
      <c r="I91" s="1199"/>
      <c r="J91" s="1199"/>
      <c r="K91" s="1199"/>
      <c r="L91" s="653" t="str">
        <f t="shared" si="67"/>
        <v>1312</v>
      </c>
      <c r="M91" s="654" t="str">
        <f t="shared" si="0"/>
        <v>RESEVE VOLKS</v>
      </c>
      <c r="N91" s="655">
        <f>+IF(OR($Q91=Parametres!$G$2,$Q91=Parametres!$G$3),I91,C91)</f>
        <v>166665</v>
      </c>
      <c r="O91" s="655">
        <f>+IF(OR($Q91=Parametres!$G$2,$Q91=Parametres!$G$3),J91,D91)</f>
        <v>26475</v>
      </c>
      <c r="P91" s="662">
        <f>+IF(OR($Q91=Parametres!$G$2,$Q91=Parametres!$G$3),K91,E91)</f>
        <v>193140</v>
      </c>
      <c r="Q91" s="654" t="str">
        <f t="shared" ref="Q91:S91" si="92">+F91</f>
        <v>2-Actifs</v>
      </c>
      <c r="R91" s="653" t="str">
        <f t="shared" si="92"/>
        <v>1314</v>
      </c>
      <c r="S91" s="654" t="str">
        <f t="shared" si="92"/>
        <v>_</v>
      </c>
      <c r="T91" s="656" t="str">
        <f>+VLOOKUP($L91,Data_Validation!$A:$D,1,0)</f>
        <v>1312</v>
      </c>
      <c r="U91" s="656" t="str">
        <f>+VLOOKUP($L91,Data_Validation!$A:$D,3,0)</f>
        <v>Bilan</v>
      </c>
      <c r="V91" s="656" t="str">
        <f>+VLOOKUP($L91,Data_Validation!$A:$D,4,0)</f>
        <v>Recevables Manufacturier</v>
      </c>
      <c r="W91" s="656" t="str">
        <f>+VLOOKUP($L91,Data_Validation!$A:$E,5,0)</f>
        <v>$</v>
      </c>
      <c r="X91" s="656">
        <f>+VLOOKUP($L91,Data_Validation!$A:$F,6,0)</f>
        <v>0</v>
      </c>
    </row>
    <row r="92" spans="1:24" ht="15" customHeight="1">
      <c r="A92" s="1218" t="s">
        <v>834</v>
      </c>
      <c r="B92" s="1218" t="s">
        <v>835</v>
      </c>
      <c r="C92" s="1220">
        <v>42382.35</v>
      </c>
      <c r="D92" s="1220">
        <v>71371.490000000005</v>
      </c>
      <c r="E92" s="1220">
        <v>113753.84</v>
      </c>
      <c r="F92" s="1218" t="s">
        <v>816</v>
      </c>
      <c r="G92" s="1218" t="s">
        <v>835</v>
      </c>
      <c r="H92" s="1218" t="s">
        <v>3950</v>
      </c>
      <c r="I92" s="1199"/>
      <c r="J92" s="1199"/>
      <c r="K92" s="1199"/>
      <c r="L92" s="653" t="str">
        <f t="shared" si="67"/>
        <v>1332</v>
      </c>
      <c r="M92" s="654" t="str">
        <f t="shared" si="0"/>
        <v>RECLAM. RECEVABLE-GARANTIE</v>
      </c>
      <c r="N92" s="655">
        <f>+IF(OR($Q92=Parametres!$G$2,$Q92=Parametres!$G$3),I92,C92)</f>
        <v>42382.35</v>
      </c>
      <c r="O92" s="655">
        <f>+IF(OR($Q92=Parametres!$G$2,$Q92=Parametres!$G$3),J92,D92)</f>
        <v>71371.490000000005</v>
      </c>
      <c r="P92" s="662">
        <f>+IF(OR($Q92=Parametres!$G$2,$Q92=Parametres!$G$3),K92,E92)</f>
        <v>113753.84</v>
      </c>
      <c r="Q92" s="654" t="str">
        <f t="shared" ref="Q92:S92" si="93">+F92</f>
        <v>2-Actifs</v>
      </c>
      <c r="R92" s="653" t="str">
        <f t="shared" si="93"/>
        <v>1332</v>
      </c>
      <c r="S92" s="654" t="str">
        <f t="shared" si="93"/>
        <v>_</v>
      </c>
      <c r="T92" s="656" t="str">
        <f>+VLOOKUP($L92,Data_Validation!$A:$D,1,0)</f>
        <v>1332</v>
      </c>
      <c r="U92" s="656" t="str">
        <f>+VLOOKUP($L92,Data_Validation!$A:$D,3,0)</f>
        <v>Bilan</v>
      </c>
      <c r="V92" s="656" t="str">
        <f>+VLOOKUP($L92,Data_Validation!$A:$D,4,0)</f>
        <v>Recevables Garantie Manufacturier</v>
      </c>
      <c r="W92" s="656" t="str">
        <f>+VLOOKUP($L92,Data_Validation!$A:$E,5,0)</f>
        <v>$</v>
      </c>
      <c r="X92" s="656">
        <f>+VLOOKUP($L92,Data_Validation!$A:$F,6,0)</f>
        <v>0</v>
      </c>
    </row>
    <row r="93" spans="1:24" ht="15" customHeight="1">
      <c r="A93" s="1218" t="s">
        <v>836</v>
      </c>
      <c r="B93" s="1218" t="s">
        <v>1472</v>
      </c>
      <c r="C93" s="1220">
        <v>-475.3</v>
      </c>
      <c r="D93" s="1220">
        <v>-624.04999999999995</v>
      </c>
      <c r="E93" s="1220">
        <v>-1099.3499999999999</v>
      </c>
      <c r="F93" s="1218" t="s">
        <v>816</v>
      </c>
      <c r="G93" s="1218" t="s">
        <v>821</v>
      </c>
      <c r="H93" s="1218" t="s">
        <v>3950</v>
      </c>
      <c r="I93" s="1199"/>
      <c r="J93" s="1199"/>
      <c r="K93" s="1199"/>
      <c r="L93" s="653" t="str">
        <f t="shared" si="67"/>
        <v>1340</v>
      </c>
      <c r="M93" s="654" t="str">
        <f t="shared" si="0"/>
        <v>GARANTIE PPM</v>
      </c>
      <c r="N93" s="655">
        <f>+IF(OR($Q93=Parametres!$G$2,$Q93=Parametres!$G$3),I93,C93)</f>
        <v>-475.3</v>
      </c>
      <c r="O93" s="655">
        <f>+IF(OR($Q93=Parametres!$G$2,$Q93=Parametres!$G$3),J93,D93)</f>
        <v>-624.04999999999995</v>
      </c>
      <c r="P93" s="662">
        <f>+IF(OR($Q93=Parametres!$G$2,$Q93=Parametres!$G$3),K93,E93)</f>
        <v>-1099.3499999999999</v>
      </c>
      <c r="Q93" s="654" t="str">
        <f t="shared" ref="Q93:S93" si="94">+F93</f>
        <v>2-Actifs</v>
      </c>
      <c r="R93" s="653" t="str">
        <f t="shared" si="94"/>
        <v>1382</v>
      </c>
      <c r="S93" s="654" t="str">
        <f t="shared" si="94"/>
        <v>_</v>
      </c>
      <c r="T93" s="656" t="str">
        <f>+VLOOKUP($L93,Data_Validation!$A:$D,1,0)</f>
        <v>1340</v>
      </c>
      <c r="U93" s="656" t="str">
        <f>+VLOOKUP($L93,Data_Validation!$A:$D,3,0)</f>
        <v>Bilan</v>
      </c>
      <c r="V93" s="656" t="str">
        <f>+VLOOKUP($L93,Data_Validation!$A:$D,4,0)</f>
        <v>recevables Autres</v>
      </c>
      <c r="W93" s="656" t="str">
        <f>+VLOOKUP($L93,Data_Validation!$A:$E,5,0)</f>
        <v>$</v>
      </c>
      <c r="X93" s="656">
        <f>+VLOOKUP($L93,Data_Validation!$A:$F,6,0)</f>
        <v>0</v>
      </c>
    </row>
    <row r="94" spans="1:24" ht="15.75" customHeight="1">
      <c r="A94" s="1218" t="s">
        <v>837</v>
      </c>
      <c r="B94" s="1218" t="s">
        <v>1475</v>
      </c>
      <c r="C94" s="1220">
        <v>282750</v>
      </c>
      <c r="D94" s="1220">
        <v>-246500</v>
      </c>
      <c r="E94" s="1220">
        <v>36250</v>
      </c>
      <c r="F94" s="1218" t="s">
        <v>816</v>
      </c>
      <c r="G94" s="1218" t="s">
        <v>833</v>
      </c>
      <c r="H94" s="1218" t="s">
        <v>3950</v>
      </c>
      <c r="I94" s="1199"/>
      <c r="J94" s="1199"/>
      <c r="K94" s="1199"/>
      <c r="L94" s="653" t="str">
        <f t="shared" si="67"/>
        <v>1352</v>
      </c>
      <c r="M94" s="654" t="str">
        <f t="shared" si="0"/>
        <v>RECEV. MANUFACTURIER VOLKS</v>
      </c>
      <c r="N94" s="655">
        <f>+IF(OR($Q94=Parametres!$G$2,$Q94=Parametres!$G$3),I94,C94)</f>
        <v>282750</v>
      </c>
      <c r="O94" s="655">
        <f>+IF(OR($Q94=Parametres!$G$2,$Q94=Parametres!$G$3),J94,D94)</f>
        <v>-246500</v>
      </c>
      <c r="P94" s="655">
        <f>+IF(OR($Q94=Parametres!$G$2,$Q94=Parametres!$G$3),K94,E94)</f>
        <v>36250</v>
      </c>
      <c r="Q94" s="654" t="str">
        <f t="shared" ref="Q94:S94" si="95">+F94</f>
        <v>2-Actifs</v>
      </c>
      <c r="R94" s="653" t="str">
        <f t="shared" si="95"/>
        <v>1314</v>
      </c>
      <c r="S94" s="654" t="str">
        <f t="shared" si="95"/>
        <v>_</v>
      </c>
      <c r="T94" s="656" t="str">
        <f>+VLOOKUP($L94,Data_Validation!$A:$D,1,0)</f>
        <v>1352</v>
      </c>
      <c r="U94" s="656" t="str">
        <f>+VLOOKUP($L94,Data_Validation!$A:$D,3,0)</f>
        <v>Bilan</v>
      </c>
      <c r="V94" s="656" t="str">
        <f>+VLOOKUP($L94,Data_Validation!$A:$D,4,0)</f>
        <v>Recevables Manufacturier</v>
      </c>
      <c r="W94" s="656" t="str">
        <f>+VLOOKUP($L94,Data_Validation!$A:$E,5,0)</f>
        <v>$</v>
      </c>
      <c r="X94" s="656">
        <f>+VLOOKUP($L94,Data_Validation!$A:$F,6,0)</f>
        <v>0</v>
      </c>
    </row>
    <row r="95" spans="1:24" ht="15" customHeight="1">
      <c r="A95" s="1218" t="s">
        <v>3937</v>
      </c>
      <c r="B95" s="1218" t="s">
        <v>1478</v>
      </c>
      <c r="C95" s="1220">
        <v>-3183.84</v>
      </c>
      <c r="D95" s="1220">
        <v>-415.8</v>
      </c>
      <c r="E95" s="1220">
        <v>-3599.64</v>
      </c>
      <c r="F95" s="1218" t="s">
        <v>816</v>
      </c>
      <c r="G95" s="1218" t="s">
        <v>868</v>
      </c>
      <c r="H95" s="1218" t="s">
        <v>3950</v>
      </c>
      <c r="I95" s="1199"/>
      <c r="J95" s="1199"/>
      <c r="K95" s="1199"/>
      <c r="L95" s="653" t="str">
        <f t="shared" si="67"/>
        <v>1364</v>
      </c>
      <c r="M95" s="654" t="str">
        <f t="shared" si="0"/>
        <v>FPA FLOORPLAN</v>
      </c>
      <c r="N95" s="655">
        <f>+IF(OR($Q95=Parametres!$G$2,$Q95=Parametres!$G$3),I95,C95)</f>
        <v>-3183.84</v>
      </c>
      <c r="O95" s="655">
        <f>+IF(OR($Q95=Parametres!$G$2,$Q95=Parametres!$G$3),J95,D95)</f>
        <v>-415.8</v>
      </c>
      <c r="P95" s="655">
        <f>+IF(OR($Q95=Parametres!$G$2,$Q95=Parametres!$G$3),K95,E95)</f>
        <v>-3599.64</v>
      </c>
      <c r="Q95" s="654" t="str">
        <f t="shared" ref="Q95:S95" si="96">+F95</f>
        <v>2-Actifs</v>
      </c>
      <c r="R95" s="653" t="str">
        <f t="shared" si="96"/>
        <v>1500</v>
      </c>
      <c r="S95" s="654" t="str">
        <f t="shared" si="96"/>
        <v>_</v>
      </c>
      <c r="T95" s="656" t="str">
        <f>+VLOOKUP($L95,Data_Validation!$A:$D,1,0)</f>
        <v>1364</v>
      </c>
      <c r="U95" s="656" t="str">
        <f>+VLOOKUP($L95,Data_Validation!$A:$D,3,0)</f>
        <v>Bilan</v>
      </c>
      <c r="V95" s="656" t="str">
        <f>+VLOOKUP($L95,Data_Validation!$A:$D,4,0)</f>
        <v>recevables Autres</v>
      </c>
      <c r="W95" s="656" t="str">
        <f>+VLOOKUP($L95,Data_Validation!$A:$E,5,0)</f>
        <v>$</v>
      </c>
      <c r="X95" s="656">
        <f>+VLOOKUP($L95,Data_Validation!$A:$F,6,0)</f>
        <v>0</v>
      </c>
    </row>
    <row r="96" spans="1:24" ht="15" customHeight="1">
      <c r="A96" s="1218" t="s">
        <v>1347</v>
      </c>
      <c r="B96" s="1218" t="s">
        <v>1429</v>
      </c>
      <c r="C96" s="1220">
        <v>0</v>
      </c>
      <c r="D96" s="1220">
        <v>2908.89</v>
      </c>
      <c r="E96" s="1220">
        <v>2908.89</v>
      </c>
      <c r="F96" s="1218" t="s">
        <v>816</v>
      </c>
      <c r="G96" s="1218" t="s">
        <v>1429</v>
      </c>
      <c r="H96" s="1218" t="s">
        <v>3950</v>
      </c>
      <c r="I96" s="1199"/>
      <c r="J96" s="1199"/>
      <c r="K96" s="1199"/>
      <c r="L96" s="653" t="str">
        <f t="shared" si="67"/>
        <v>1372</v>
      </c>
      <c r="M96" s="654" t="str">
        <f t="shared" si="0"/>
        <v>TAXES DE VENTES A RECEVOIR</v>
      </c>
      <c r="N96" s="655">
        <f>+IF(OR($Q96=Parametres!$G$2,$Q96=Parametres!$G$3),I96,C96)</f>
        <v>0</v>
      </c>
      <c r="O96" s="655">
        <f>+IF(OR($Q96=Parametres!$G$2,$Q96=Parametres!$G$3),J96,D96)</f>
        <v>2908.89</v>
      </c>
      <c r="P96" s="662">
        <f>+IF(OR($Q96=Parametres!$G$2,$Q96=Parametres!$G$3),K96,E96)</f>
        <v>2908.89</v>
      </c>
      <c r="Q96" s="654" t="str">
        <f t="shared" ref="Q96:S96" si="97">+F96</f>
        <v>2-Actifs</v>
      </c>
      <c r="R96" s="653" t="str">
        <f t="shared" si="97"/>
        <v>1372</v>
      </c>
      <c r="S96" s="654" t="str">
        <f t="shared" si="97"/>
        <v>_</v>
      </c>
      <c r="T96" s="656" t="str">
        <f>+VLOOKUP($L96,Data_Validation!$A:$D,1,0)</f>
        <v>1372</v>
      </c>
      <c r="U96" s="656" t="str">
        <f>+VLOOKUP($L96,Data_Validation!$A:$D,3,0)</f>
        <v>Bilan</v>
      </c>
      <c r="V96" s="656" t="str">
        <f>+VLOOKUP($L96,Data_Validation!$A:$D,4,0)</f>
        <v>Taxes de Vente à Payer</v>
      </c>
      <c r="W96" s="656" t="str">
        <f>+VLOOKUP($L96,Data_Validation!$A:$E,5,0)</f>
        <v>$</v>
      </c>
      <c r="X96" s="656">
        <f>+VLOOKUP($L96,Data_Validation!$A:$F,6,0)</f>
        <v>0</v>
      </c>
    </row>
    <row r="97" spans="1:24" ht="15" customHeight="1">
      <c r="A97" s="1218" t="s">
        <v>838</v>
      </c>
      <c r="B97" s="1218" t="s">
        <v>839</v>
      </c>
      <c r="C97" s="1220">
        <v>-22396.9</v>
      </c>
      <c r="D97" s="1220">
        <v>0</v>
      </c>
      <c r="E97" s="1220">
        <v>-22396.9</v>
      </c>
      <c r="F97" s="1218" t="s">
        <v>816</v>
      </c>
      <c r="G97" s="1218" t="s">
        <v>839</v>
      </c>
      <c r="H97" s="1218" t="s">
        <v>3950</v>
      </c>
      <c r="I97" s="651"/>
      <c r="J97" s="651"/>
      <c r="K97" s="651"/>
      <c r="L97" s="653" t="str">
        <f t="shared" si="67"/>
        <v>1399</v>
      </c>
      <c r="M97" s="654" t="str">
        <f t="shared" si="0"/>
        <v>RESERVE CREANCE DOUTEUSES</v>
      </c>
      <c r="N97" s="655">
        <f>+IF(OR($Q97=Parametres!$G$2,$Q97=Parametres!$G$3),I97,C97)</f>
        <v>-22396.9</v>
      </c>
      <c r="O97" s="659">
        <f>+IF(OR($Q97=Parametres!$G$2,$Q97=Parametres!$G$3),J97,D97)</f>
        <v>0</v>
      </c>
      <c r="P97" s="655">
        <f>+IF(OR($Q97=Parametres!$G$2,$Q97=Parametres!$G$3),K97,E97)</f>
        <v>-22396.9</v>
      </c>
      <c r="Q97" s="654" t="str">
        <f t="shared" ref="Q97:S97" si="98">+F97</f>
        <v>2-Actifs</v>
      </c>
      <c r="R97" s="653" t="str">
        <f t="shared" si="98"/>
        <v>1399</v>
      </c>
      <c r="S97" s="654" t="str">
        <f t="shared" si="98"/>
        <v>_</v>
      </c>
      <c r="T97" s="656" t="str">
        <f>+VLOOKUP($L97,Data_Validation!$A:$D,1,0)</f>
        <v>1399</v>
      </c>
      <c r="U97" s="656" t="str">
        <f>+VLOOKUP($L97,Data_Validation!$A:$D,3,0)</f>
        <v>Bilan</v>
      </c>
      <c r="V97" s="656" t="str">
        <f>+VLOOKUP($L97,Data_Validation!$A:$D,4,0)</f>
        <v>Recevables Pièces et Service</v>
      </c>
      <c r="W97" s="656" t="str">
        <f>+VLOOKUP($L97,Data_Validation!$A:$E,5,0)</f>
        <v>$</v>
      </c>
      <c r="X97" s="656">
        <f>+VLOOKUP($L97,Data_Validation!$A:$F,6,0)</f>
        <v>0</v>
      </c>
    </row>
    <row r="98" spans="1:24" ht="15" customHeight="1">
      <c r="A98" s="1218" t="s">
        <v>840</v>
      </c>
      <c r="B98" s="1218" t="s">
        <v>841</v>
      </c>
      <c r="C98" s="1220">
        <v>3973930.59</v>
      </c>
      <c r="D98" s="1220">
        <v>1087057.8700000001</v>
      </c>
      <c r="E98" s="1220">
        <v>5060988.46</v>
      </c>
      <c r="F98" s="1218" t="s">
        <v>816</v>
      </c>
      <c r="G98" s="1218" t="s">
        <v>841</v>
      </c>
      <c r="H98" s="1218" t="s">
        <v>3950</v>
      </c>
      <c r="I98" s="651"/>
      <c r="J98" s="651"/>
      <c r="K98" s="651"/>
      <c r="L98" s="653" t="str">
        <f t="shared" si="67"/>
        <v>1402</v>
      </c>
      <c r="M98" s="654" t="str">
        <f t="shared" si="0"/>
        <v>VEHIC. NEUFS VOLKS</v>
      </c>
      <c r="N98" s="655">
        <f>+IF(OR($Q98=Parametres!$G$2,$Q98=Parametres!$G$3),I98,C98)</f>
        <v>3973930.59</v>
      </c>
      <c r="O98" s="659">
        <f>+IF(OR($Q98=Parametres!$G$2,$Q98=Parametres!$G$3),J98,D98)</f>
        <v>1087057.8700000001</v>
      </c>
      <c r="P98" s="655">
        <f>+IF(OR($Q98=Parametres!$G$2,$Q98=Parametres!$G$3),K98,E98)</f>
        <v>5060988.46</v>
      </c>
      <c r="Q98" s="654" t="str">
        <f t="shared" ref="Q98:S98" si="99">+F98</f>
        <v>2-Actifs</v>
      </c>
      <c r="R98" s="653" t="str">
        <f t="shared" si="99"/>
        <v>1402</v>
      </c>
      <c r="S98" s="654" t="str">
        <f t="shared" si="99"/>
        <v>_</v>
      </c>
      <c r="T98" s="656" t="str">
        <f>+VLOOKUP($L98,Data_Validation!$A:$D,1,0)</f>
        <v>1402</v>
      </c>
      <c r="U98" s="656" t="str">
        <f>+VLOOKUP($L98,Data_Validation!$A:$D,3,0)</f>
        <v>Bilan</v>
      </c>
      <c r="V98" s="656" t="str">
        <f>+VLOOKUP($L98,Data_Validation!$A:$D,4,0)</f>
        <v>Inventaire Véhicules Neufs</v>
      </c>
      <c r="W98" s="656" t="str">
        <f>+VLOOKUP($L98,Data_Validation!$A:$E,5,0)</f>
        <v>$</v>
      </c>
      <c r="X98" s="656">
        <f>+VLOOKUP($L98,Data_Validation!$A:$F,6,0)</f>
        <v>0</v>
      </c>
    </row>
    <row r="99" spans="1:24" ht="15.75" customHeight="1">
      <c r="A99" s="1218" t="s">
        <v>844</v>
      </c>
      <c r="B99" s="1218" t="s">
        <v>1487</v>
      </c>
      <c r="C99" s="1220">
        <v>-49318.84</v>
      </c>
      <c r="D99" s="1220">
        <v>-7650</v>
      </c>
      <c r="E99" s="1220">
        <v>-56968.84</v>
      </c>
      <c r="F99" s="1218" t="s">
        <v>816</v>
      </c>
      <c r="G99" s="1218" t="s">
        <v>841</v>
      </c>
      <c r="H99" s="1218" t="s">
        <v>3950</v>
      </c>
      <c r="I99" s="651"/>
      <c r="J99" s="651"/>
      <c r="K99" s="651"/>
      <c r="L99" s="653" t="str">
        <f t="shared" si="67"/>
        <v>1403</v>
      </c>
      <c r="M99" s="654" t="str">
        <f t="shared" si="0"/>
        <v>BRUISING VOLKS VEH. NEUFS</v>
      </c>
      <c r="N99" s="655">
        <f>+IF(OR($Q99=Parametres!$G$2,$Q99=Parametres!$G$3),I99,C99)</f>
        <v>-49318.84</v>
      </c>
      <c r="O99" s="659">
        <f>+IF(OR($Q99=Parametres!$G$2,$Q99=Parametres!$G$3),J99,D99)</f>
        <v>-7650</v>
      </c>
      <c r="P99" s="655">
        <f>+IF(OR($Q99=Parametres!$G$2,$Q99=Parametres!$G$3),K99,E99)</f>
        <v>-56968.84</v>
      </c>
      <c r="Q99" s="654" t="str">
        <f t="shared" ref="Q99:S99" si="100">+F99</f>
        <v>2-Actifs</v>
      </c>
      <c r="R99" s="653" t="str">
        <f t="shared" si="100"/>
        <v>1402</v>
      </c>
      <c r="S99" s="654" t="str">
        <f t="shared" si="100"/>
        <v>_</v>
      </c>
      <c r="T99" s="656" t="str">
        <f>+VLOOKUP($L99,Data_Validation!$A:$D,1,0)</f>
        <v>1403</v>
      </c>
      <c r="U99" s="656" t="str">
        <f>+VLOOKUP($L99,Data_Validation!$A:$D,3,0)</f>
        <v>Bilan</v>
      </c>
      <c r="V99" s="656" t="str">
        <f>+VLOOKUP($L99,Data_Validation!$A:$D,4,0)</f>
        <v>Inventaire Véhicules Neufs</v>
      </c>
      <c r="W99" s="656" t="str">
        <f>+VLOOKUP($L99,Data_Validation!$A:$E,5,0)</f>
        <v>$</v>
      </c>
      <c r="X99" s="656">
        <f>+VLOOKUP($L99,Data_Validation!$A:$F,6,0)</f>
        <v>0</v>
      </c>
    </row>
    <row r="100" spans="1:24" ht="15" customHeight="1">
      <c r="A100" s="1218" t="s">
        <v>845</v>
      </c>
      <c r="B100" s="1218" t="s">
        <v>846</v>
      </c>
      <c r="C100" s="1220">
        <v>-66797.19</v>
      </c>
      <c r="D100" s="1220">
        <v>-4216</v>
      </c>
      <c r="E100" s="1220">
        <v>-71013.19</v>
      </c>
      <c r="F100" s="1218" t="s">
        <v>816</v>
      </c>
      <c r="G100" s="1218" t="s">
        <v>846</v>
      </c>
      <c r="H100" s="1218" t="s">
        <v>3950</v>
      </c>
      <c r="I100" s="652"/>
      <c r="J100" s="652"/>
      <c r="K100" s="652"/>
      <c r="L100" s="653" t="str">
        <f t="shared" si="67"/>
        <v>1413</v>
      </c>
      <c r="M100" s="654" t="str">
        <f t="shared" si="0"/>
        <v>BRUISING USED CAR</v>
      </c>
      <c r="N100" s="655">
        <f>+IF(OR($Q100=Parametres!$G$2,$Q100=Parametres!$G$3),I100,C100)</f>
        <v>-66797.19</v>
      </c>
      <c r="O100" s="659">
        <f>+IF(OR($Q100=Parametres!$G$2,$Q100=Parametres!$G$3),J100,D100)</f>
        <v>-4216</v>
      </c>
      <c r="P100" s="655">
        <f>+IF(OR($Q100=Parametres!$G$2,$Q100=Parametres!$G$3),K100,E100)</f>
        <v>-71013.19</v>
      </c>
      <c r="Q100" s="654" t="str">
        <f t="shared" ref="Q100:S100" si="101">+F100</f>
        <v>2-Actifs</v>
      </c>
      <c r="R100" s="653" t="str">
        <f t="shared" si="101"/>
        <v>1413</v>
      </c>
      <c r="S100" s="654" t="str">
        <f t="shared" si="101"/>
        <v>_</v>
      </c>
      <c r="T100" s="656" t="str">
        <f>+VLOOKUP($L100,Data_Validation!$A:$D,1,0)</f>
        <v>1413</v>
      </c>
      <c r="U100" s="656" t="str">
        <f>+VLOOKUP($L100,Data_Validation!$A:$D,3,0)</f>
        <v>Bilan</v>
      </c>
      <c r="V100" s="656" t="str">
        <f>+VLOOKUP($L100,Data_Validation!$A:$D,4,0)</f>
        <v>Inventaire Véhicules Usagés</v>
      </c>
      <c r="W100" s="656" t="str">
        <f>+VLOOKUP($L100,Data_Validation!$A:$E,5,0)</f>
        <v>$</v>
      </c>
      <c r="X100" s="656">
        <f>+VLOOKUP($L100,Data_Validation!$A:$F,6,0)</f>
        <v>0</v>
      </c>
    </row>
    <row r="101" spans="1:24" ht="15" customHeight="1">
      <c r="A101" s="1218" t="s">
        <v>847</v>
      </c>
      <c r="B101" s="1218" t="s">
        <v>848</v>
      </c>
      <c r="C101" s="1220">
        <v>1617932.09</v>
      </c>
      <c r="D101" s="1220">
        <v>228452.19</v>
      </c>
      <c r="E101" s="1220">
        <v>1846384.28</v>
      </c>
      <c r="F101" s="1218" t="s">
        <v>816</v>
      </c>
      <c r="G101" s="1218" t="s">
        <v>848</v>
      </c>
      <c r="H101" s="1218" t="s">
        <v>3950</v>
      </c>
      <c r="I101" s="652"/>
      <c r="J101" s="652"/>
      <c r="K101" s="652"/>
      <c r="L101" s="653" t="str">
        <f t="shared" si="67"/>
        <v>1416</v>
      </c>
      <c r="M101" s="654" t="str">
        <f t="shared" si="0"/>
        <v>INV. VEH. USAGE VW</v>
      </c>
      <c r="N101" s="655">
        <f>+IF(OR($Q101=Parametres!$G$2,$Q101=Parametres!$G$3),I101,C101)</f>
        <v>1617932.09</v>
      </c>
      <c r="O101" s="655">
        <f>+IF(OR($Q101=Parametres!$G$2,$Q101=Parametres!$G$3),J101,D101)</f>
        <v>228452.19</v>
      </c>
      <c r="P101" s="655">
        <f>+IF(OR($Q101=Parametres!$G$2,$Q101=Parametres!$G$3),K101,E101)</f>
        <v>1846384.28</v>
      </c>
      <c r="Q101" s="654" t="str">
        <f t="shared" ref="Q101:S101" si="102">+F101</f>
        <v>2-Actifs</v>
      </c>
      <c r="R101" s="653" t="str">
        <f t="shared" si="102"/>
        <v>1416</v>
      </c>
      <c r="S101" s="654" t="str">
        <f t="shared" si="102"/>
        <v>_</v>
      </c>
      <c r="T101" s="656" t="str">
        <f>+VLOOKUP($L101,Data_Validation!$A:$D,1,0)</f>
        <v>1416</v>
      </c>
      <c r="U101" s="656" t="str">
        <f>+VLOOKUP($L101,Data_Validation!$A:$D,3,0)</f>
        <v>Bilan</v>
      </c>
      <c r="V101" s="656" t="str">
        <f>+VLOOKUP($L101,Data_Validation!$A:$D,4,0)</f>
        <v>Inventaire Véhicules Usagés</v>
      </c>
      <c r="W101" s="656" t="str">
        <f>+VLOOKUP($L101,Data_Validation!$A:$E,5,0)</f>
        <v>$</v>
      </c>
      <c r="X101" s="656">
        <f>+VLOOKUP($L101,Data_Validation!$A:$F,6,0)</f>
        <v>0</v>
      </c>
    </row>
    <row r="102" spans="1:24" ht="15" customHeight="1">
      <c r="A102" s="1218" t="s">
        <v>851</v>
      </c>
      <c r="B102" s="1218" t="s">
        <v>852</v>
      </c>
      <c r="C102" s="1220">
        <v>-10151.51</v>
      </c>
      <c r="D102" s="1220">
        <v>-417.44</v>
      </c>
      <c r="E102" s="1220">
        <v>-10568.95</v>
      </c>
      <c r="F102" s="1218" t="s">
        <v>816</v>
      </c>
      <c r="G102" s="1218" t="s">
        <v>852</v>
      </c>
      <c r="H102" s="1218" t="s">
        <v>3950</v>
      </c>
      <c r="I102" s="651"/>
      <c r="J102" s="651"/>
      <c r="K102" s="651"/>
      <c r="L102" s="653" t="str">
        <f t="shared" si="67"/>
        <v>1423</v>
      </c>
      <c r="M102" s="654" t="str">
        <f t="shared" si="0"/>
        <v>RESERVE DEMO</v>
      </c>
      <c r="N102" s="655">
        <f>+IF(OR($Q102=Parametres!$G$2,$Q102=Parametres!$G$3),I102,C102)</f>
        <v>-10151.51</v>
      </c>
      <c r="O102" s="655">
        <f>+IF(OR($Q102=Parametres!$G$2,$Q102=Parametres!$G$3),J102,D102)</f>
        <v>-417.44</v>
      </c>
      <c r="P102" s="655">
        <f>+IF(OR($Q102=Parametres!$G$2,$Q102=Parametres!$G$3),K102,E102)</f>
        <v>-10568.95</v>
      </c>
      <c r="Q102" s="654" t="str">
        <f t="shared" ref="Q102:S102" si="103">+F102</f>
        <v>2-Actifs</v>
      </c>
      <c r="R102" s="653" t="str">
        <f t="shared" si="103"/>
        <v>1423</v>
      </c>
      <c r="S102" s="654" t="str">
        <f t="shared" si="103"/>
        <v>_</v>
      </c>
      <c r="T102" s="656" t="str">
        <f>+VLOOKUP($L102,Data_Validation!$A:$D,1,0)</f>
        <v>1423</v>
      </c>
      <c r="U102" s="656" t="str">
        <f>+VLOOKUP($L102,Data_Validation!$A:$D,3,0)</f>
        <v>Bilan</v>
      </c>
      <c r="V102" s="656" t="str">
        <f>+VLOOKUP($L102,Data_Validation!$A:$D,4,0)</f>
        <v>Inventaire Véhicules Neufs</v>
      </c>
      <c r="W102" s="656" t="str">
        <f>+VLOOKUP($L102,Data_Validation!$A:$E,5,0)</f>
        <v>$</v>
      </c>
      <c r="X102" s="656">
        <f>+VLOOKUP($L102,Data_Validation!$A:$F,6,0)</f>
        <v>0</v>
      </c>
    </row>
    <row r="103" spans="1:24" ht="15.75" customHeight="1">
      <c r="A103" s="1218" t="s">
        <v>853</v>
      </c>
      <c r="B103" s="1218" t="s">
        <v>3366</v>
      </c>
      <c r="C103" s="1220">
        <v>-10879.13</v>
      </c>
      <c r="D103" s="1220">
        <v>-1733.51</v>
      </c>
      <c r="E103" s="1220">
        <v>-12612.64</v>
      </c>
      <c r="F103" s="1218" t="s">
        <v>816</v>
      </c>
      <c r="G103" s="1218" t="s">
        <v>854</v>
      </c>
      <c r="H103" s="1218" t="s">
        <v>3950</v>
      </c>
      <c r="I103" s="651"/>
      <c r="J103" s="651"/>
      <c r="K103" s="651"/>
      <c r="L103" s="653" t="str">
        <f t="shared" si="67"/>
        <v>1433</v>
      </c>
      <c r="M103" s="654" t="str">
        <f t="shared" si="0"/>
        <v>RESERVE COURTOISIE</v>
      </c>
      <c r="N103" s="655">
        <f>+IF(OR($Q103=Parametres!$G$2,$Q103=Parametres!$G$3),I103,C103)</f>
        <v>-10879.13</v>
      </c>
      <c r="O103" s="655">
        <f>+IF(OR($Q103=Parametres!$G$2,$Q103=Parametres!$G$3),J103,D103)</f>
        <v>-1733.51</v>
      </c>
      <c r="P103" s="655">
        <f>+IF(OR($Q103=Parametres!$G$2,$Q103=Parametres!$G$3),K103,E103)</f>
        <v>-12612.64</v>
      </c>
      <c r="Q103" s="654" t="str">
        <f t="shared" ref="Q103:S103" si="104">+F103</f>
        <v>2-Actifs</v>
      </c>
      <c r="R103" s="653" t="str">
        <f t="shared" si="104"/>
        <v>143</v>
      </c>
      <c r="S103" s="654" t="str">
        <f t="shared" si="104"/>
        <v>_</v>
      </c>
      <c r="T103" s="656" t="str">
        <f>+VLOOKUP($L103,Data_Validation!$A:$D,1,0)</f>
        <v>1433</v>
      </c>
      <c r="U103" s="656" t="str">
        <f>+VLOOKUP($L103,Data_Validation!$A:$D,3,0)</f>
        <v>Bilan</v>
      </c>
      <c r="V103" s="656" t="str">
        <f>+VLOOKUP($L103,Data_Validation!$A:$D,4,0)</f>
        <v>Inventaire Véhicules Neufs</v>
      </c>
      <c r="W103" s="656" t="str">
        <f>+VLOOKUP($L103,Data_Validation!$A:$E,5,0)</f>
        <v>$</v>
      </c>
      <c r="X103" s="656">
        <f>+VLOOKUP($L103,Data_Validation!$A:$F,6,0)</f>
        <v>0</v>
      </c>
    </row>
    <row r="104" spans="1:24" ht="15" customHeight="1">
      <c r="A104" s="1218" t="s">
        <v>855</v>
      </c>
      <c r="B104" s="1218" t="s">
        <v>856</v>
      </c>
      <c r="C104" s="1220">
        <v>514622.17</v>
      </c>
      <c r="D104" s="1220">
        <v>-50567.55</v>
      </c>
      <c r="E104" s="1220">
        <v>464054.62</v>
      </c>
      <c r="F104" s="1218" t="s">
        <v>816</v>
      </c>
      <c r="G104" s="1218" t="s">
        <v>856</v>
      </c>
      <c r="H104" s="1218" t="s">
        <v>3950</v>
      </c>
      <c r="I104" s="651"/>
      <c r="J104" s="651"/>
      <c r="K104" s="651"/>
      <c r="L104" s="653" t="str">
        <f t="shared" si="67"/>
        <v>1442</v>
      </c>
      <c r="M104" s="654" t="str">
        <f t="shared" si="0"/>
        <v>PIECES &amp; ACCESSOIRES NEUFS</v>
      </c>
      <c r="N104" s="655">
        <f>+IF(OR($Q104=Parametres!$G$2,$Q104=Parametres!$G$3),I104,C104)</f>
        <v>514622.17</v>
      </c>
      <c r="O104" s="655">
        <f>+IF(OR($Q104=Parametres!$G$2,$Q104=Parametres!$G$3),J104,D104)</f>
        <v>-50567.55</v>
      </c>
      <c r="P104" s="655">
        <f>+IF(OR($Q104=Parametres!$G$2,$Q104=Parametres!$G$3),K104,E104)</f>
        <v>464054.62</v>
      </c>
      <c r="Q104" s="654" t="str">
        <f t="shared" ref="Q104:S104" si="105">+F104</f>
        <v>2-Actifs</v>
      </c>
      <c r="R104" s="653" t="str">
        <f t="shared" si="105"/>
        <v>1442</v>
      </c>
      <c r="S104" s="654" t="str">
        <f t="shared" si="105"/>
        <v>_</v>
      </c>
      <c r="T104" s="656" t="str">
        <f>+VLOOKUP($L104,Data_Validation!$A:$D,1,0)</f>
        <v>1442</v>
      </c>
      <c r="U104" s="656" t="str">
        <f>+VLOOKUP($L104,Data_Validation!$A:$D,3,0)</f>
        <v>Bilan</v>
      </c>
      <c r="V104" s="656" t="str">
        <f>+VLOOKUP($L104,Data_Validation!$A:$D,4,0)</f>
        <v>Inventaire Pièces, Pneus, Huile</v>
      </c>
      <c r="W104" s="656" t="str">
        <f>+VLOOKUP($L104,Data_Validation!$A:$E,5,0)</f>
        <v>$</v>
      </c>
      <c r="X104" s="656">
        <f>+VLOOKUP($L104,Data_Validation!$A:$F,6,0)</f>
        <v>0</v>
      </c>
    </row>
    <row r="105" spans="1:24" ht="15" customHeight="1">
      <c r="A105" s="1218" t="s">
        <v>857</v>
      </c>
      <c r="B105" s="1218" t="s">
        <v>3367</v>
      </c>
      <c r="C105" s="1220">
        <v>5568.49</v>
      </c>
      <c r="D105" s="1220">
        <v>279.89</v>
      </c>
      <c r="E105" s="1220">
        <v>5848.38</v>
      </c>
      <c r="F105" s="1218" t="s">
        <v>816</v>
      </c>
      <c r="G105" s="1218" t="s">
        <v>856</v>
      </c>
      <c r="H105" s="1218" t="s">
        <v>3950</v>
      </c>
      <c r="I105" s="651"/>
      <c r="J105" s="651"/>
      <c r="K105" s="651"/>
      <c r="L105" s="653" t="str">
        <f t="shared" si="67"/>
        <v>1448</v>
      </c>
      <c r="M105" s="654" t="str">
        <f t="shared" si="0"/>
        <v>AUTRES MARQUES P&amp;A</v>
      </c>
      <c r="N105" s="655">
        <f>+IF(OR($Q105=Parametres!$G$2,$Q105=Parametres!$G$3),I105,C105)</f>
        <v>5568.49</v>
      </c>
      <c r="O105" s="655">
        <f>+IF(OR($Q105=Parametres!$G$2,$Q105=Parametres!$G$3),J105,D105)</f>
        <v>279.89</v>
      </c>
      <c r="P105" s="655">
        <f>+IF(OR($Q105=Parametres!$G$2,$Q105=Parametres!$G$3),K105,E105)</f>
        <v>5848.38</v>
      </c>
      <c r="Q105" s="654" t="str">
        <f t="shared" ref="Q105:S105" si="106">+F105</f>
        <v>2-Actifs</v>
      </c>
      <c r="R105" s="653" t="str">
        <f t="shared" si="106"/>
        <v>1442</v>
      </c>
      <c r="S105" s="654" t="str">
        <f t="shared" si="106"/>
        <v>_</v>
      </c>
      <c r="T105" s="656" t="str">
        <f>+VLOOKUP($L105,Data_Validation!$A:$D,1,0)</f>
        <v>1448</v>
      </c>
      <c r="U105" s="656" t="str">
        <f>+VLOOKUP($L105,Data_Validation!$A:$D,3,0)</f>
        <v>Bilan</v>
      </c>
      <c r="V105" s="656" t="str">
        <f>+VLOOKUP($L105,Data_Validation!$A:$D,4,0)</f>
        <v>Inventaire Pièces, Pneus, Huile</v>
      </c>
      <c r="W105" s="656" t="str">
        <f>+VLOOKUP($L105,Data_Validation!$A:$E,5,0)</f>
        <v>$</v>
      </c>
      <c r="X105" s="656">
        <f>+VLOOKUP($L105,Data_Validation!$A:$F,6,0)</f>
        <v>0</v>
      </c>
    </row>
    <row r="106" spans="1:24" ht="15" customHeight="1">
      <c r="A106" s="1218" t="s">
        <v>858</v>
      </c>
      <c r="B106" s="1218" t="s">
        <v>1498</v>
      </c>
      <c r="C106" s="1220">
        <v>48850.36</v>
      </c>
      <c r="D106" s="1220">
        <v>-253</v>
      </c>
      <c r="E106" s="1220">
        <v>48597.36</v>
      </c>
      <c r="F106" s="1218" t="s">
        <v>816</v>
      </c>
      <c r="G106" s="1218" t="s">
        <v>856</v>
      </c>
      <c r="H106" s="1218" t="s">
        <v>3950</v>
      </c>
      <c r="I106" s="651"/>
      <c r="J106" s="651"/>
      <c r="K106" s="651"/>
      <c r="L106" s="653" t="str">
        <f t="shared" si="67"/>
        <v>1452</v>
      </c>
      <c r="M106" s="654" t="str">
        <f t="shared" si="0"/>
        <v>PNEUS</v>
      </c>
      <c r="N106" s="655">
        <f>+IF(OR($Q106=Parametres!$G$2,$Q106=Parametres!$G$3),I106,C106)</f>
        <v>48850.36</v>
      </c>
      <c r="O106" s="655">
        <f>+IF(OR($Q106=Parametres!$G$2,$Q106=Parametres!$G$3),J106,D106)</f>
        <v>-253</v>
      </c>
      <c r="P106" s="655">
        <f>+IF(OR($Q106=Parametres!$G$2,$Q106=Parametres!$G$3),K106,E106)</f>
        <v>48597.36</v>
      </c>
      <c r="Q106" s="654" t="str">
        <f t="shared" ref="Q106:S106" si="107">+F106</f>
        <v>2-Actifs</v>
      </c>
      <c r="R106" s="653" t="str">
        <f t="shared" si="107"/>
        <v>1442</v>
      </c>
      <c r="S106" s="654" t="str">
        <f t="shared" si="107"/>
        <v>_</v>
      </c>
      <c r="T106" s="656" t="str">
        <f>+VLOOKUP($L106,Data_Validation!$A:$D,1,0)</f>
        <v>1452</v>
      </c>
      <c r="U106" s="656" t="str">
        <f>+VLOOKUP($L106,Data_Validation!$A:$D,3,0)</f>
        <v>Bilan</v>
      </c>
      <c r="V106" s="656" t="str">
        <f>+VLOOKUP($L106,Data_Validation!$A:$D,4,0)</f>
        <v>Inventaire Pièces, Pneus, Huile</v>
      </c>
      <c r="W106" s="656" t="str">
        <f>+VLOOKUP($L106,Data_Validation!$A:$E,5,0)</f>
        <v>$</v>
      </c>
      <c r="X106" s="656">
        <f>+VLOOKUP($L106,Data_Validation!$A:$F,6,0)</f>
        <v>0</v>
      </c>
    </row>
    <row r="107" spans="1:24" ht="15" customHeight="1">
      <c r="A107" s="1218" t="s">
        <v>859</v>
      </c>
      <c r="B107" s="1218" t="s">
        <v>860</v>
      </c>
      <c r="C107" s="1220">
        <v>1023.56</v>
      </c>
      <c r="D107" s="1220">
        <v>-1023.56</v>
      </c>
      <c r="E107" s="1220">
        <v>0</v>
      </c>
      <c r="F107" s="1218" t="s">
        <v>816</v>
      </c>
      <c r="G107" s="1218" t="s">
        <v>860</v>
      </c>
      <c r="H107" s="1218" t="s">
        <v>3950</v>
      </c>
      <c r="I107" s="651"/>
      <c r="J107" s="651"/>
      <c r="K107" s="651"/>
      <c r="L107" s="653" t="str">
        <f t="shared" si="67"/>
        <v>1456</v>
      </c>
      <c r="M107" s="654" t="str">
        <f t="shared" si="0"/>
        <v>PIECES VW NON ORIGINE</v>
      </c>
      <c r="N107" s="655">
        <f>+IF(OR($Q107=Parametres!$G$2,$Q107=Parametres!$G$3),I107,C107)</f>
        <v>1023.56</v>
      </c>
      <c r="O107" s="655">
        <f>+IF(OR($Q107=Parametres!$G$2,$Q107=Parametres!$G$3),J107,D107)</f>
        <v>-1023.56</v>
      </c>
      <c r="P107" s="655">
        <f>+IF(OR($Q107=Parametres!$G$2,$Q107=Parametres!$G$3),K107,E107)</f>
        <v>0</v>
      </c>
      <c r="Q107" s="654" t="str">
        <f t="shared" ref="Q107:S107" si="108">+F107</f>
        <v>2-Actifs</v>
      </c>
      <c r="R107" s="653" t="str">
        <f t="shared" si="108"/>
        <v>1456</v>
      </c>
      <c r="S107" s="654" t="str">
        <f t="shared" si="108"/>
        <v>_</v>
      </c>
      <c r="T107" s="656" t="str">
        <f>+VLOOKUP($L107,Data_Validation!$A:$D,1,0)</f>
        <v>1456</v>
      </c>
      <c r="U107" s="656" t="str">
        <f>+VLOOKUP($L107,Data_Validation!$A:$D,3,0)</f>
        <v>Bilan</v>
      </c>
      <c r="V107" s="656" t="str">
        <f>+VLOOKUP($L107,Data_Validation!$A:$D,4,0)</f>
        <v>Inventaire Pièces, Pneus, Huile</v>
      </c>
      <c r="W107" s="656" t="str">
        <f>+VLOOKUP($L107,Data_Validation!$A:$E,5,0)</f>
        <v>$</v>
      </c>
      <c r="X107" s="656">
        <f>+VLOOKUP($L107,Data_Validation!$A:$F,6,0)</f>
        <v>0</v>
      </c>
    </row>
    <row r="108" spans="1:24" ht="15" customHeight="1">
      <c r="A108" s="1218" t="s">
        <v>861</v>
      </c>
      <c r="B108" s="1218" t="s">
        <v>862</v>
      </c>
      <c r="C108" s="1220">
        <v>16843.189999999999</v>
      </c>
      <c r="D108" s="1220">
        <v>-4539.72</v>
      </c>
      <c r="E108" s="1220">
        <v>12303.47</v>
      </c>
      <c r="F108" s="1218" t="s">
        <v>816</v>
      </c>
      <c r="G108" s="1218" t="s">
        <v>862</v>
      </c>
      <c r="H108" s="1218" t="s">
        <v>3950</v>
      </c>
      <c r="I108" s="651"/>
      <c r="J108" s="651"/>
      <c r="K108" s="651"/>
      <c r="L108" s="653" t="str">
        <f t="shared" si="67"/>
        <v>1472</v>
      </c>
      <c r="M108" s="654" t="str">
        <f t="shared" si="0"/>
        <v>WIP M-O VW</v>
      </c>
      <c r="N108" s="655">
        <f>+IF(OR($Q108=Parametres!$G$2,$Q108=Parametres!$G$3),I108,C108)</f>
        <v>16843.189999999999</v>
      </c>
      <c r="O108" s="655">
        <f>+IF(OR($Q108=Parametres!$G$2,$Q108=Parametres!$G$3),J108,D108)</f>
        <v>-4539.72</v>
      </c>
      <c r="P108" s="655">
        <f>+IF(OR($Q108=Parametres!$G$2,$Q108=Parametres!$G$3),K108,E108)</f>
        <v>12303.47</v>
      </c>
      <c r="Q108" s="654" t="str">
        <f t="shared" ref="Q108:S108" si="109">+F108</f>
        <v>2-Actifs</v>
      </c>
      <c r="R108" s="653" t="str">
        <f t="shared" si="109"/>
        <v>1472</v>
      </c>
      <c r="S108" s="654" t="str">
        <f t="shared" si="109"/>
        <v>_</v>
      </c>
      <c r="T108" s="656" t="str">
        <f>+VLOOKUP($L108,Data_Validation!$A:$D,1,0)</f>
        <v>1472</v>
      </c>
      <c r="U108" s="656" t="str">
        <f>+VLOOKUP($L108,Data_Validation!$A:$D,3,0)</f>
        <v>Bilan</v>
      </c>
      <c r="V108" s="656" t="str">
        <f>+VLOOKUP($L108,Data_Validation!$A:$D,4,0)</f>
        <v>Travaux en Cours</v>
      </c>
      <c r="W108" s="656" t="str">
        <f>+VLOOKUP($L108,Data_Validation!$A:$E,5,0)</f>
        <v>$</v>
      </c>
      <c r="X108" s="656">
        <f>+VLOOKUP($L108,Data_Validation!$A:$F,6,0)</f>
        <v>0</v>
      </c>
    </row>
    <row r="109" spans="1:24" ht="15.75" customHeight="1">
      <c r="A109" s="1218" t="s">
        <v>863</v>
      </c>
      <c r="B109" s="1218" t="s">
        <v>1505</v>
      </c>
      <c r="C109" s="1220">
        <v>-32079.35</v>
      </c>
      <c r="D109" s="1220">
        <v>3908.39</v>
      </c>
      <c r="E109" s="1220">
        <v>-28170.959999999999</v>
      </c>
      <c r="F109" s="1218" t="s">
        <v>816</v>
      </c>
      <c r="G109" s="1218" t="s">
        <v>862</v>
      </c>
      <c r="H109" s="1218" t="s">
        <v>3950</v>
      </c>
      <c r="I109" s="651"/>
      <c r="J109" s="651"/>
      <c r="K109" s="651"/>
      <c r="L109" s="653" t="str">
        <f t="shared" si="67"/>
        <v>1474</v>
      </c>
      <c r="M109" s="654" t="str">
        <f t="shared" si="0"/>
        <v>INVENTAIRE SOUS-TRAITANTS</v>
      </c>
      <c r="N109" s="655">
        <f>+IF(OR($Q109=Parametres!$G$2,$Q109=Parametres!$G$3),I109,C109)</f>
        <v>-32079.35</v>
      </c>
      <c r="O109" s="655">
        <f>+IF(OR($Q109=Parametres!$G$2,$Q109=Parametres!$G$3),J109,D109)</f>
        <v>3908.39</v>
      </c>
      <c r="P109" s="655">
        <f>+IF(OR($Q109=Parametres!$G$2,$Q109=Parametres!$G$3),K109,E109)</f>
        <v>-28170.959999999999</v>
      </c>
      <c r="Q109" s="654" t="str">
        <f t="shared" ref="Q109:S109" si="110">+F109</f>
        <v>2-Actifs</v>
      </c>
      <c r="R109" s="653" t="str">
        <f t="shared" si="110"/>
        <v>1472</v>
      </c>
      <c r="S109" s="654" t="str">
        <f t="shared" si="110"/>
        <v>_</v>
      </c>
      <c r="T109" s="656" t="str">
        <f>+VLOOKUP($L109,Data_Validation!$A:$D,1,0)</f>
        <v>1474</v>
      </c>
      <c r="U109" s="656" t="str">
        <f>+VLOOKUP($L109,Data_Validation!$A:$D,3,0)</f>
        <v>Bilan</v>
      </c>
      <c r="V109" s="656" t="str">
        <f>+VLOOKUP($L109,Data_Validation!$A:$D,4,0)</f>
        <v>Sous-Traitance</v>
      </c>
      <c r="W109" s="656" t="str">
        <f>+VLOOKUP($L109,Data_Validation!$A:$E,5,0)</f>
        <v>$</v>
      </c>
      <c r="X109" s="656">
        <f>+VLOOKUP($L109,Data_Validation!$A:$F,6,0)</f>
        <v>0</v>
      </c>
    </row>
    <row r="110" spans="1:24" ht="15" customHeight="1">
      <c r="A110" s="1218" t="s">
        <v>864</v>
      </c>
      <c r="B110" s="1218" t="s">
        <v>1508</v>
      </c>
      <c r="C110" s="1220">
        <v>63701.32</v>
      </c>
      <c r="D110" s="1220">
        <v>-8335.4699999999993</v>
      </c>
      <c r="E110" s="1220">
        <v>55365.85</v>
      </c>
      <c r="F110" s="1218" t="s">
        <v>816</v>
      </c>
      <c r="G110" s="1218" t="s">
        <v>856</v>
      </c>
      <c r="H110" s="1218" t="s">
        <v>3950</v>
      </c>
      <c r="I110" s="651"/>
      <c r="J110" s="651"/>
      <c r="K110" s="651"/>
      <c r="L110" s="653" t="str">
        <f t="shared" si="67"/>
        <v>1492</v>
      </c>
      <c r="M110" s="654" t="str">
        <f t="shared" si="0"/>
        <v>CARBURANT, HUILE, GRAISSE</v>
      </c>
      <c r="N110" s="655">
        <f>+IF(OR($Q110=Parametres!$G$2,$Q110=Parametres!$G$3),I110,C110)</f>
        <v>63701.32</v>
      </c>
      <c r="O110" s="659">
        <f>+IF(OR($Q110=Parametres!$G$2,$Q110=Parametres!$G$3),J110,D110)</f>
        <v>-8335.4699999999993</v>
      </c>
      <c r="P110" s="655">
        <f>+IF(OR($Q110=Parametres!$G$2,$Q110=Parametres!$G$3),K110,E110)</f>
        <v>55365.85</v>
      </c>
      <c r="Q110" s="654" t="str">
        <f t="shared" ref="Q110:S110" si="111">+F110</f>
        <v>2-Actifs</v>
      </c>
      <c r="R110" s="653" t="str">
        <f t="shared" si="111"/>
        <v>1442</v>
      </c>
      <c r="S110" s="654" t="str">
        <f t="shared" si="111"/>
        <v>_</v>
      </c>
      <c r="T110" s="656" t="str">
        <f>+VLOOKUP($L110,Data_Validation!$A:$D,1,0)</f>
        <v>1492</v>
      </c>
      <c r="U110" s="656" t="str">
        <f>+VLOOKUP($L110,Data_Validation!$A:$D,3,0)</f>
        <v>Bilan</v>
      </c>
      <c r="V110" s="656" t="str">
        <f>+VLOOKUP($L110,Data_Validation!$A:$D,4,0)</f>
        <v>Inventaire Pièces, Pneus, Huile</v>
      </c>
      <c r="W110" s="656" t="str">
        <f>+VLOOKUP($L110,Data_Validation!$A:$E,5,0)</f>
        <v>$</v>
      </c>
      <c r="X110" s="656">
        <f>+VLOOKUP($L110,Data_Validation!$A:$F,6,0)</f>
        <v>0</v>
      </c>
    </row>
    <row r="111" spans="1:24" ht="15" customHeight="1">
      <c r="A111" s="1218" t="s">
        <v>870</v>
      </c>
      <c r="B111" s="1218" t="s">
        <v>1519</v>
      </c>
      <c r="C111" s="1220">
        <v>0</v>
      </c>
      <c r="D111" s="1220">
        <v>0.01</v>
      </c>
      <c r="E111" s="1220">
        <v>0.01</v>
      </c>
      <c r="F111" s="1218" t="s">
        <v>816</v>
      </c>
      <c r="G111" s="1218" t="s">
        <v>868</v>
      </c>
      <c r="H111" s="1218" t="s">
        <v>3950</v>
      </c>
      <c r="I111" s="651"/>
      <c r="J111" s="651"/>
      <c r="K111" s="651"/>
      <c r="L111" s="653" t="str">
        <f t="shared" si="67"/>
        <v>1506</v>
      </c>
      <c r="M111" s="654" t="str">
        <f t="shared" si="0"/>
        <v>FPA PUBLICITE SERVICE</v>
      </c>
      <c r="N111" s="655">
        <f>+IF(OR($Q111=Parametres!$G$2,$Q111=Parametres!$G$3),I111,C111)</f>
        <v>0</v>
      </c>
      <c r="O111" s="655">
        <f>+IF(OR($Q111=Parametres!$G$2,$Q111=Parametres!$G$3),J111,D111)</f>
        <v>0.01</v>
      </c>
      <c r="P111" s="655">
        <f>+IF(OR($Q111=Parametres!$G$2,$Q111=Parametres!$G$3),K111,E111)</f>
        <v>0.01</v>
      </c>
      <c r="Q111" s="654" t="str">
        <f t="shared" ref="Q111:S111" si="112">+F111</f>
        <v>2-Actifs</v>
      </c>
      <c r="R111" s="653" t="str">
        <f t="shared" si="112"/>
        <v>1500</v>
      </c>
      <c r="S111" s="654" t="str">
        <f t="shared" si="112"/>
        <v>_</v>
      </c>
      <c r="T111" s="656" t="str">
        <f>+VLOOKUP($L111,Data_Validation!$A:$D,1,0)</f>
        <v>1506</v>
      </c>
      <c r="U111" s="656" t="str">
        <f>+VLOOKUP($L111,Data_Validation!$A:$D,3,0)</f>
        <v>Bilan</v>
      </c>
      <c r="V111" s="656" t="str">
        <f>+VLOOKUP($L111,Data_Validation!$A:$D,4,0)</f>
        <v>Frais Payés d'Avance</v>
      </c>
      <c r="W111" s="656" t="str">
        <f>+VLOOKUP($L111,Data_Validation!$A:$E,5,0)</f>
        <v>$</v>
      </c>
      <c r="X111" s="656">
        <f>+VLOOKUP($L111,Data_Validation!$A:$F,6,0)</f>
        <v>0</v>
      </c>
    </row>
    <row r="112" spans="1:24" ht="15" customHeight="1">
      <c r="A112" s="1218" t="s">
        <v>871</v>
      </c>
      <c r="B112" s="1218" t="s">
        <v>1525</v>
      </c>
      <c r="C112" s="1220">
        <v>5914.8</v>
      </c>
      <c r="D112" s="1220">
        <v>0</v>
      </c>
      <c r="E112" s="1220">
        <v>5914.8</v>
      </c>
      <c r="F112" s="1218" t="s">
        <v>816</v>
      </c>
      <c r="G112" s="1218" t="s">
        <v>868</v>
      </c>
      <c r="H112" s="1218" t="s">
        <v>3950</v>
      </c>
      <c r="I112" s="651"/>
      <c r="J112" s="651"/>
      <c r="K112" s="651"/>
      <c r="L112" s="653" t="str">
        <f t="shared" si="67"/>
        <v>1510</v>
      </c>
      <c r="M112" s="654" t="str">
        <f t="shared" si="0"/>
        <v>DIAMOND KOTE (NANO)</v>
      </c>
      <c r="N112" s="655">
        <f>+IF(OR($Q112=Parametres!$G$2,$Q112=Parametres!$G$3),I112,C112)</f>
        <v>5914.8</v>
      </c>
      <c r="O112" s="655">
        <f>+IF(OR($Q112=Parametres!$G$2,$Q112=Parametres!$G$3),J112,D112)</f>
        <v>0</v>
      </c>
      <c r="P112" s="655">
        <f>+IF(OR($Q112=Parametres!$G$2,$Q112=Parametres!$G$3),K112,E112)</f>
        <v>5914.8</v>
      </c>
      <c r="Q112" s="654" t="str">
        <f t="shared" ref="Q112:S112" si="113">+F112</f>
        <v>2-Actifs</v>
      </c>
      <c r="R112" s="653" t="str">
        <f t="shared" si="113"/>
        <v>1500</v>
      </c>
      <c r="S112" s="654" t="str">
        <f t="shared" si="113"/>
        <v>_</v>
      </c>
      <c r="T112" s="656" t="str">
        <f>+VLOOKUP($L112,Data_Validation!$A:$D,1,0)</f>
        <v>1510</v>
      </c>
      <c r="U112" s="656" t="str">
        <f>+VLOOKUP($L112,Data_Validation!$A:$D,3,0)</f>
        <v>Bilan</v>
      </c>
      <c r="V112" s="656" t="str">
        <f>+VLOOKUP($L112,Data_Validation!$A:$D,4,0)</f>
        <v>Frais Payés d'Avance</v>
      </c>
      <c r="W112" s="656" t="str">
        <f>+VLOOKUP($L112,Data_Validation!$A:$E,5,0)</f>
        <v>$</v>
      </c>
      <c r="X112" s="656">
        <f>+VLOOKUP($L112,Data_Validation!$A:$F,6,0)</f>
        <v>0</v>
      </c>
    </row>
    <row r="113" spans="1:24" ht="15.75" customHeight="1">
      <c r="A113" s="1218" t="s">
        <v>872</v>
      </c>
      <c r="B113" s="1218" t="s">
        <v>1528</v>
      </c>
      <c r="C113" s="1220">
        <v>9950.7900000000009</v>
      </c>
      <c r="D113" s="1220">
        <v>-1105.6400000000001</v>
      </c>
      <c r="E113" s="1220">
        <v>8845.15</v>
      </c>
      <c r="F113" s="1218" t="s">
        <v>816</v>
      </c>
      <c r="G113" s="1218" t="s">
        <v>868</v>
      </c>
      <c r="H113" s="1218" t="s">
        <v>3950</v>
      </c>
      <c r="I113" s="651"/>
      <c r="J113" s="651"/>
      <c r="K113" s="651"/>
      <c r="L113" s="653" t="str">
        <f t="shared" si="67"/>
        <v>1520</v>
      </c>
      <c r="M113" s="654" t="str">
        <f t="shared" si="0"/>
        <v>FPA IMMATRICULATION</v>
      </c>
      <c r="N113" s="655">
        <f>+IF(OR($Q113=Parametres!$G$2,$Q113=Parametres!$G$3),I113,C113)</f>
        <v>9950.7900000000009</v>
      </c>
      <c r="O113" s="655">
        <f>+IF(OR($Q113=Parametres!$G$2,$Q113=Parametres!$G$3),J113,D113)</f>
        <v>-1105.6400000000001</v>
      </c>
      <c r="P113" s="655">
        <f>+IF(OR($Q113=Parametres!$G$2,$Q113=Parametres!$G$3),K113,E113)</f>
        <v>8845.15</v>
      </c>
      <c r="Q113" s="654" t="str">
        <f t="shared" ref="Q113:S113" si="114">+F113</f>
        <v>2-Actifs</v>
      </c>
      <c r="R113" s="653" t="str">
        <f t="shared" si="114"/>
        <v>1500</v>
      </c>
      <c r="S113" s="654" t="str">
        <f t="shared" si="114"/>
        <v>_</v>
      </c>
      <c r="T113" s="656" t="str">
        <f>+VLOOKUP($L113,Data_Validation!$A:$D,1,0)</f>
        <v>1520</v>
      </c>
      <c r="U113" s="656" t="str">
        <f>+VLOOKUP($L113,Data_Validation!$A:$D,3,0)</f>
        <v>Bilan</v>
      </c>
      <c r="V113" s="656" t="str">
        <f>+VLOOKUP($L113,Data_Validation!$A:$D,4,0)</f>
        <v>Frais Payés d'Avance</v>
      </c>
      <c r="W113" s="656" t="str">
        <f>+VLOOKUP($L113,Data_Validation!$A:$E,5,0)</f>
        <v>$</v>
      </c>
      <c r="X113" s="656">
        <f>+VLOOKUP($L113,Data_Validation!$A:$F,6,0)</f>
        <v>0</v>
      </c>
    </row>
    <row r="114" spans="1:24" ht="15" customHeight="1">
      <c r="A114" s="1218" t="s">
        <v>3949</v>
      </c>
      <c r="B114" s="1218" t="s">
        <v>1531</v>
      </c>
      <c r="C114" s="1220">
        <v>1200</v>
      </c>
      <c r="D114" s="1220">
        <v>150</v>
      </c>
      <c r="E114" s="1220">
        <v>1350</v>
      </c>
      <c r="F114" s="1218" t="s">
        <v>816</v>
      </c>
      <c r="G114" s="1218" t="s">
        <v>868</v>
      </c>
      <c r="H114" s="1218" t="s">
        <v>3950</v>
      </c>
      <c r="I114" s="651"/>
      <c r="J114" s="651"/>
      <c r="K114" s="651"/>
      <c r="L114" s="653" t="str">
        <f t="shared" si="67"/>
        <v>1522</v>
      </c>
      <c r="M114" s="654" t="str">
        <f t="shared" si="0"/>
        <v>FPA recours coll</v>
      </c>
      <c r="N114" s="655">
        <f>+IF(OR($Q114=Parametres!$G$2,$Q114=Parametres!$G$3),I114,C114)</f>
        <v>1200</v>
      </c>
      <c r="O114" s="655">
        <f>+IF(OR($Q114=Parametres!$G$2,$Q114=Parametres!$G$3),J114,D114)</f>
        <v>150</v>
      </c>
      <c r="P114" s="655">
        <f>+IF(OR($Q114=Parametres!$G$2,$Q114=Parametres!$G$3),K114,E114)</f>
        <v>1350</v>
      </c>
      <c r="Q114" s="654" t="str">
        <f t="shared" ref="Q114:S114" si="115">+F114</f>
        <v>2-Actifs</v>
      </c>
      <c r="R114" s="653" t="str">
        <f t="shared" si="115"/>
        <v>1500</v>
      </c>
      <c r="S114" s="654" t="str">
        <f t="shared" si="115"/>
        <v>_</v>
      </c>
      <c r="T114" s="656" t="str">
        <f>+VLOOKUP($L114,Data_Validation!$A:$D,1,0)</f>
        <v>1522</v>
      </c>
      <c r="U114" s="656" t="str">
        <f>+VLOOKUP($L114,Data_Validation!$A:$D,3,0)</f>
        <v>Bilan</v>
      </c>
      <c r="V114" s="656" t="str">
        <f>+VLOOKUP($L114,Data_Validation!$A:$D,4,0)</f>
        <v>Frais Payés d'Avance</v>
      </c>
      <c r="W114" s="656" t="str">
        <f>+VLOOKUP($L114,Data_Validation!$A:$E,5,0)</f>
        <v>$</v>
      </c>
      <c r="X114" s="656">
        <f>+VLOOKUP($L114,Data_Validation!$A:$F,6,0)</f>
        <v>0</v>
      </c>
    </row>
    <row r="115" spans="1:24" ht="15" customHeight="1">
      <c r="A115" s="1218" t="s">
        <v>873</v>
      </c>
      <c r="B115" s="1218" t="s">
        <v>1540</v>
      </c>
      <c r="C115" s="1220">
        <v>2509</v>
      </c>
      <c r="D115" s="1220">
        <v>0</v>
      </c>
      <c r="E115" s="1220">
        <v>2509</v>
      </c>
      <c r="F115" s="1218" t="s">
        <v>816</v>
      </c>
      <c r="G115" s="1218" t="s">
        <v>868</v>
      </c>
      <c r="H115" s="1218" t="s">
        <v>3950</v>
      </c>
      <c r="I115" s="652"/>
      <c r="J115" s="652"/>
      <c r="K115" s="652"/>
      <c r="L115" s="653" t="str">
        <f t="shared" si="67"/>
        <v>1532</v>
      </c>
      <c r="M115" s="654" t="str">
        <f t="shared" si="0"/>
        <v>FPA C.C.A.M.Q.</v>
      </c>
      <c r="N115" s="655">
        <f>+IF(OR($Q115=Parametres!$G$2,$Q115=Parametres!$G$3),I115,C115)</f>
        <v>2509</v>
      </c>
      <c r="O115" s="655">
        <f>+IF(OR($Q115=Parametres!$G$2,$Q115=Parametres!$G$3),J115,D115)</f>
        <v>0</v>
      </c>
      <c r="P115" s="655">
        <f>+IF(OR($Q115=Parametres!$G$2,$Q115=Parametres!$G$3),K115,E115)</f>
        <v>2509</v>
      </c>
      <c r="Q115" s="654" t="str">
        <f t="shared" ref="Q115:S115" si="116">+F115</f>
        <v>2-Actifs</v>
      </c>
      <c r="R115" s="653" t="str">
        <f t="shared" si="116"/>
        <v>1500</v>
      </c>
      <c r="S115" s="654" t="str">
        <f t="shared" si="116"/>
        <v>_</v>
      </c>
      <c r="T115" s="656" t="str">
        <f>+VLOOKUP($L115,Data_Validation!$A:$D,1,0)</f>
        <v>1532</v>
      </c>
      <c r="U115" s="656" t="str">
        <f>+VLOOKUP($L115,Data_Validation!$A:$D,3,0)</f>
        <v>Bilan</v>
      </c>
      <c r="V115" s="656" t="str">
        <f>+VLOOKUP($L115,Data_Validation!$A:$D,4,0)</f>
        <v>Frais Payés d'Avance</v>
      </c>
      <c r="W115" s="656" t="str">
        <f>+VLOOKUP($L115,Data_Validation!$A:$E,5,0)</f>
        <v>$</v>
      </c>
      <c r="X115" s="656">
        <f>+VLOOKUP($L115,Data_Validation!$A:$F,6,0)</f>
        <v>0</v>
      </c>
    </row>
    <row r="116" spans="1:24" ht="15" customHeight="1">
      <c r="A116" s="1218" t="s">
        <v>879</v>
      </c>
      <c r="B116" s="1218" t="s">
        <v>3370</v>
      </c>
      <c r="C116" s="1220">
        <v>85784.95</v>
      </c>
      <c r="D116" s="1220">
        <v>38586.129999999997</v>
      </c>
      <c r="E116" s="1220">
        <v>124371.08</v>
      </c>
      <c r="F116" s="1218" t="s">
        <v>816</v>
      </c>
      <c r="G116" s="1218" t="s">
        <v>868</v>
      </c>
      <c r="H116" s="1218" t="s">
        <v>3950</v>
      </c>
      <c r="I116" s="652"/>
      <c r="J116" s="652"/>
      <c r="K116" s="652"/>
      <c r="L116" s="653" t="str">
        <f t="shared" si="67"/>
        <v>1553</v>
      </c>
      <c r="M116" s="654" t="str">
        <f t="shared" si="0"/>
        <v>CSST A PAYER OU RECEVOIR</v>
      </c>
      <c r="N116" s="655">
        <f>+IF(OR($Q116=Parametres!$G$2,$Q116=Parametres!$G$3),I116,C116)</f>
        <v>85784.95</v>
      </c>
      <c r="O116" s="655">
        <f>+IF(OR($Q116=Parametres!$G$2,$Q116=Parametres!$G$3),J116,D116)</f>
        <v>38586.129999999997</v>
      </c>
      <c r="P116" s="655">
        <f>+IF(OR($Q116=Parametres!$G$2,$Q116=Parametres!$G$3),K116,E116)</f>
        <v>124371.08</v>
      </c>
      <c r="Q116" s="654" t="str">
        <f t="shared" ref="Q116:S116" si="117">+F116</f>
        <v>2-Actifs</v>
      </c>
      <c r="R116" s="653" t="str">
        <f t="shared" si="117"/>
        <v>1500</v>
      </c>
      <c r="S116" s="654" t="str">
        <f t="shared" si="117"/>
        <v>_</v>
      </c>
      <c r="T116" s="656" t="str">
        <f>+VLOOKUP($L116,Data_Validation!$A:$D,1,0)</f>
        <v>1553</v>
      </c>
      <c r="U116" s="656" t="str">
        <f>+VLOOKUP($L116,Data_Validation!$A:$D,3,0)</f>
        <v>Bilan</v>
      </c>
      <c r="V116" s="656" t="str">
        <f>+VLOOKUP($L116,Data_Validation!$A:$D,4,0)</f>
        <v>Frais Payés d'Avance</v>
      </c>
      <c r="W116" s="656" t="str">
        <f>+VLOOKUP($L116,Data_Validation!$A:$E,5,0)</f>
        <v>$</v>
      </c>
      <c r="X116" s="656">
        <f>+VLOOKUP($L116,Data_Validation!$A:$F,6,0)</f>
        <v>0</v>
      </c>
    </row>
    <row r="117" spans="1:24" ht="15.75" customHeight="1">
      <c r="A117" s="1218" t="s">
        <v>880</v>
      </c>
      <c r="B117" s="1218" t="s">
        <v>1564</v>
      </c>
      <c r="C117" s="1220">
        <v>29928.09</v>
      </c>
      <c r="D117" s="1220">
        <v>-8532</v>
      </c>
      <c r="E117" s="1220">
        <v>21396.09</v>
      </c>
      <c r="F117" s="1218" t="s">
        <v>816</v>
      </c>
      <c r="G117" s="1218" t="s">
        <v>868</v>
      </c>
      <c r="H117" s="1218" t="s">
        <v>3950</v>
      </c>
      <c r="I117" s="652"/>
      <c r="J117" s="652"/>
      <c r="K117" s="652"/>
      <c r="L117" s="653" t="str">
        <f t="shared" si="67"/>
        <v>1582</v>
      </c>
      <c r="M117" s="654" t="str">
        <f t="shared" si="0"/>
        <v>FPA TAXES MUNICIPALES</v>
      </c>
      <c r="N117" s="655">
        <f>+IF(OR($Q117=Parametres!$G$2,$Q117=Parametres!$G$3),I117,C117)</f>
        <v>29928.09</v>
      </c>
      <c r="O117" s="655">
        <f>+IF(OR($Q117=Parametres!$G$2,$Q117=Parametres!$G$3),J117,D117)</f>
        <v>-8532</v>
      </c>
      <c r="P117" s="655">
        <f>+IF(OR($Q117=Parametres!$G$2,$Q117=Parametres!$G$3),K117,E117)</f>
        <v>21396.09</v>
      </c>
      <c r="Q117" s="654" t="str">
        <f t="shared" ref="Q117:S117" si="118">+F117</f>
        <v>2-Actifs</v>
      </c>
      <c r="R117" s="653" t="str">
        <f t="shared" si="118"/>
        <v>1500</v>
      </c>
      <c r="S117" s="654" t="str">
        <f t="shared" si="118"/>
        <v>_</v>
      </c>
      <c r="T117" s="656" t="str">
        <f>+VLOOKUP($L117,Data_Validation!$A:$D,1,0)</f>
        <v>1582</v>
      </c>
      <c r="U117" s="656" t="str">
        <f>+VLOOKUP($L117,Data_Validation!$A:$D,3,0)</f>
        <v>Bilan</v>
      </c>
      <c r="V117" s="656" t="str">
        <f>+VLOOKUP($L117,Data_Validation!$A:$D,4,0)</f>
        <v>Frais Payés d'Avance</v>
      </c>
      <c r="W117" s="656" t="str">
        <f>+VLOOKUP($L117,Data_Validation!$A:$E,5,0)</f>
        <v>$</v>
      </c>
      <c r="X117" s="656">
        <f>+VLOOKUP($L117,Data_Validation!$A:$F,6,0)</f>
        <v>0</v>
      </c>
    </row>
    <row r="118" spans="1:24" ht="15" customHeight="1">
      <c r="A118" s="1218" t="s">
        <v>881</v>
      </c>
      <c r="B118" s="1218" t="s">
        <v>1570</v>
      </c>
      <c r="C118" s="1220">
        <v>-89.34</v>
      </c>
      <c r="D118" s="1220">
        <v>-500</v>
      </c>
      <c r="E118" s="1220">
        <v>-589.34</v>
      </c>
      <c r="F118" s="1218" t="s">
        <v>816</v>
      </c>
      <c r="G118" s="1218" t="s">
        <v>868</v>
      </c>
      <c r="H118" s="1218" t="s">
        <v>3950</v>
      </c>
      <c r="I118" s="663"/>
      <c r="J118" s="663"/>
      <c r="K118" s="663"/>
      <c r="L118" s="653" t="str">
        <f t="shared" si="67"/>
        <v>1586</v>
      </c>
      <c r="M118" s="654" t="str">
        <f t="shared" si="0"/>
        <v>FPA TAXES SCOLAIRES</v>
      </c>
      <c r="N118" s="655">
        <f>+IF(OR($Q118=Parametres!$G$2,$Q118=Parametres!$G$3),I118,C118)</f>
        <v>-89.34</v>
      </c>
      <c r="O118" s="655">
        <f>+IF(OR($Q118=Parametres!$G$2,$Q118=Parametres!$G$3),J118,D118)</f>
        <v>-500</v>
      </c>
      <c r="P118" s="655">
        <f>+IF(OR($Q118=Parametres!$G$2,$Q118=Parametres!$G$3),K118,E118)</f>
        <v>-589.34</v>
      </c>
      <c r="Q118" s="654" t="str">
        <f t="shared" ref="Q118:S118" si="119">+F118</f>
        <v>2-Actifs</v>
      </c>
      <c r="R118" s="653" t="str">
        <f t="shared" si="119"/>
        <v>1500</v>
      </c>
      <c r="S118" s="654" t="str">
        <f t="shared" si="119"/>
        <v>_</v>
      </c>
      <c r="T118" s="656" t="str">
        <f>+VLOOKUP($L118,Data_Validation!$A:$D,1,0)</f>
        <v>1586</v>
      </c>
      <c r="U118" s="656" t="str">
        <f>+VLOOKUP($L118,Data_Validation!$A:$D,3,0)</f>
        <v>Bilan</v>
      </c>
      <c r="V118" s="656" t="str">
        <f>+VLOOKUP($L118,Data_Validation!$A:$D,4,0)</f>
        <v>Frais Payés d'Avance</v>
      </c>
      <c r="W118" s="656" t="str">
        <f>+VLOOKUP($L118,Data_Validation!$A:$E,5,0)</f>
        <v>$</v>
      </c>
      <c r="X118" s="656">
        <f>+VLOOKUP($L118,Data_Validation!$A:$F,6,0)</f>
        <v>0</v>
      </c>
    </row>
    <row r="119" spans="1:24" ht="15" customHeight="1">
      <c r="A119" s="1218" t="s">
        <v>883</v>
      </c>
      <c r="B119" s="1218" t="s">
        <v>1573</v>
      </c>
      <c r="C119" s="1220">
        <v>-56601.95</v>
      </c>
      <c r="D119" s="1220">
        <v>-114799.38</v>
      </c>
      <c r="E119" s="1220">
        <v>-171401.33</v>
      </c>
      <c r="F119" s="1218" t="s">
        <v>816</v>
      </c>
      <c r="G119" s="1218" t="s">
        <v>868</v>
      </c>
      <c r="H119" s="1218" t="s">
        <v>3950</v>
      </c>
      <c r="I119" s="652"/>
      <c r="J119" s="652"/>
      <c r="K119" s="652"/>
      <c r="L119" s="653" t="str">
        <f t="shared" si="67"/>
        <v>1592</v>
      </c>
      <c r="M119" s="654" t="str">
        <f t="shared" si="0"/>
        <v>FPA AUTRES</v>
      </c>
      <c r="N119" s="655">
        <f>+IF(OR($Q119=Parametres!$G$2,$Q119=Parametres!$G$3),I119,C119)</f>
        <v>-56601.95</v>
      </c>
      <c r="O119" s="655">
        <f>+IF(OR($Q119=Parametres!$G$2,$Q119=Parametres!$G$3),J119,D119)</f>
        <v>-114799.38</v>
      </c>
      <c r="P119" s="655">
        <f>+IF(OR($Q119=Parametres!$G$2,$Q119=Parametres!$G$3),K119,E119)</f>
        <v>-171401.33</v>
      </c>
      <c r="Q119" s="654" t="str">
        <f t="shared" ref="Q119:S119" si="120">+F119</f>
        <v>2-Actifs</v>
      </c>
      <c r="R119" s="653" t="str">
        <f t="shared" si="120"/>
        <v>1500</v>
      </c>
      <c r="S119" s="654" t="str">
        <f t="shared" si="120"/>
        <v>_</v>
      </c>
      <c r="T119" s="656" t="str">
        <f>+VLOOKUP($L119,Data_Validation!$A:$D,1,0)</f>
        <v>1592</v>
      </c>
      <c r="U119" s="656" t="str">
        <f>+VLOOKUP($L119,Data_Validation!$A:$D,3,0)</f>
        <v>Bilan</v>
      </c>
      <c r="V119" s="656" t="str">
        <f>+VLOOKUP($L119,Data_Validation!$A:$D,4,0)</f>
        <v>Frais Payés d'Avance</v>
      </c>
      <c r="W119" s="656" t="str">
        <f>+VLOOKUP($L119,Data_Validation!$A:$E,5,0)</f>
        <v>$</v>
      </c>
      <c r="X119" s="656">
        <f>+VLOOKUP($L119,Data_Validation!$A:$F,6,0)</f>
        <v>0</v>
      </c>
    </row>
    <row r="120" spans="1:24" ht="15" customHeight="1">
      <c r="A120" s="1218" t="s">
        <v>884</v>
      </c>
      <c r="B120" s="1218" t="s">
        <v>1585</v>
      </c>
      <c r="C120" s="1220">
        <v>148504.63</v>
      </c>
      <c r="D120" s="1220">
        <v>17170</v>
      </c>
      <c r="E120" s="1220">
        <v>165674.63</v>
      </c>
      <c r="F120" s="1218" t="s">
        <v>816</v>
      </c>
      <c r="G120" s="1218" t="s">
        <v>885</v>
      </c>
      <c r="H120" s="1218" t="s">
        <v>3950</v>
      </c>
      <c r="I120" s="652"/>
      <c r="J120" s="652"/>
      <c r="K120" s="652"/>
      <c r="L120" s="653" t="str">
        <f t="shared" si="67"/>
        <v>1732</v>
      </c>
      <c r="M120" s="654" t="str">
        <f t="shared" si="0"/>
        <v>AMELIOR. LOCATIVES</v>
      </c>
      <c r="N120" s="655">
        <f>+IF(OR($Q120=Parametres!$G$2,$Q120=Parametres!$G$3),I120,C120)</f>
        <v>148504.63</v>
      </c>
      <c r="O120" s="655">
        <f>+IF(OR($Q120=Parametres!$G$2,$Q120=Parametres!$G$3),J120,D120)</f>
        <v>17170</v>
      </c>
      <c r="P120" s="655">
        <f>+IF(OR($Q120=Parametres!$G$2,$Q120=Parametres!$G$3),K120,E120)</f>
        <v>165674.63</v>
      </c>
      <c r="Q120" s="654" t="str">
        <f t="shared" ref="Q120:S120" si="121">+F120</f>
        <v>2-Actifs</v>
      </c>
      <c r="R120" s="653" t="str">
        <f t="shared" si="121"/>
        <v>1700</v>
      </c>
      <c r="S120" s="654" t="str">
        <f t="shared" si="121"/>
        <v>_</v>
      </c>
      <c r="T120" s="656" t="str">
        <f>+VLOOKUP($L120,Data_Validation!$A:$D,1,0)</f>
        <v>1732</v>
      </c>
      <c r="U120" s="656" t="str">
        <f>+VLOOKUP($L120,Data_Validation!$A:$D,3,0)</f>
        <v>Bilan</v>
      </c>
      <c r="V120" s="656" t="str">
        <f>+VLOOKUP($L120,Data_Validation!$A:$D,4,0)</f>
        <v>Améliorations Locatives</v>
      </c>
      <c r="W120" s="656" t="str">
        <f>+VLOOKUP($L120,Data_Validation!$A:$E,5,0)</f>
        <v>$</v>
      </c>
      <c r="X120" s="656">
        <f>+VLOOKUP($L120,Data_Validation!$A:$F,6,0)</f>
        <v>0</v>
      </c>
    </row>
    <row r="121" spans="1:24" ht="15" customHeight="1">
      <c r="A121" s="1218" t="s">
        <v>886</v>
      </c>
      <c r="B121" s="1218" t="s">
        <v>1588</v>
      </c>
      <c r="C121" s="1220">
        <v>-124705.78</v>
      </c>
      <c r="D121" s="1220">
        <v>0</v>
      </c>
      <c r="E121" s="1220">
        <v>-124705.78</v>
      </c>
      <c r="F121" s="1218" t="s">
        <v>816</v>
      </c>
      <c r="G121" s="1218" t="s">
        <v>885</v>
      </c>
      <c r="H121" s="1218" t="s">
        <v>3950</v>
      </c>
      <c r="I121" s="651"/>
      <c r="J121" s="651"/>
      <c r="K121" s="651"/>
      <c r="L121" s="653" t="str">
        <f t="shared" si="67"/>
        <v>1733</v>
      </c>
      <c r="M121" s="654" t="str">
        <f t="shared" si="0"/>
        <v>AMORT. CUM. AMEL. LOCAT.</v>
      </c>
      <c r="N121" s="655">
        <f>+IF(OR($Q121=Parametres!$G$2,$Q121=Parametres!$G$3),I121,C121)</f>
        <v>-124705.78</v>
      </c>
      <c r="O121" s="659">
        <f>+IF(OR($Q121=Parametres!$G$2,$Q121=Parametres!$G$3),J121,D121)</f>
        <v>0</v>
      </c>
      <c r="P121" s="655">
        <f>+IF(OR($Q121=Parametres!$G$2,$Q121=Parametres!$G$3),K121,E121)</f>
        <v>-124705.78</v>
      </c>
      <c r="Q121" s="654" t="str">
        <f t="shared" ref="Q121:S121" si="122">+F121</f>
        <v>2-Actifs</v>
      </c>
      <c r="R121" s="653" t="str">
        <f t="shared" si="122"/>
        <v>1700</v>
      </c>
      <c r="S121" s="654" t="str">
        <f t="shared" si="122"/>
        <v>_</v>
      </c>
      <c r="T121" s="656" t="str">
        <f>+VLOOKUP($L121,Data_Validation!$A:$D,1,0)</f>
        <v>1733</v>
      </c>
      <c r="U121" s="656" t="str">
        <f>+VLOOKUP($L121,Data_Validation!$A:$D,3,0)</f>
        <v>Bilan</v>
      </c>
      <c r="V121" s="656" t="str">
        <f>+VLOOKUP($L121,Data_Validation!$A:$D,4,0)</f>
        <v>Améliorations Locatives</v>
      </c>
      <c r="W121" s="656" t="str">
        <f>+VLOOKUP($L121,Data_Validation!$A:$E,5,0)</f>
        <v>$</v>
      </c>
      <c r="X121" s="656">
        <f>+VLOOKUP($L121,Data_Validation!$A:$F,6,0)</f>
        <v>0</v>
      </c>
    </row>
    <row r="122" spans="1:24" ht="15" customHeight="1">
      <c r="A122" s="1218" t="s">
        <v>3350</v>
      </c>
      <c r="B122" s="1218" t="s">
        <v>3372</v>
      </c>
      <c r="C122" s="1220">
        <v>10527.65</v>
      </c>
      <c r="D122" s="1220">
        <v>0</v>
      </c>
      <c r="E122" s="1220">
        <v>10527.65</v>
      </c>
      <c r="F122" s="1218" t="s">
        <v>816</v>
      </c>
      <c r="G122" s="1218" t="s">
        <v>885</v>
      </c>
      <c r="H122" s="1218" t="s">
        <v>3950</v>
      </c>
      <c r="I122" s="652"/>
      <c r="J122" s="652"/>
      <c r="K122" s="652"/>
      <c r="L122" s="653" t="str">
        <f t="shared" si="67"/>
        <v>1734</v>
      </c>
      <c r="M122" s="654" t="str">
        <f t="shared" si="0"/>
        <v>AMELIOR. LOCATIVES CPO</v>
      </c>
      <c r="N122" s="655">
        <f>+IF(OR($Q122=Parametres!$G$2,$Q122=Parametres!$G$3),I122,C122)</f>
        <v>10527.65</v>
      </c>
      <c r="O122" s="655">
        <f>+IF(OR($Q122=Parametres!$G$2,$Q122=Parametres!$G$3),J122,D122)</f>
        <v>0</v>
      </c>
      <c r="P122" s="655">
        <f>+IF(OR($Q122=Parametres!$G$2,$Q122=Parametres!$G$3),K122,E122)</f>
        <v>10527.65</v>
      </c>
      <c r="Q122" s="654" t="str">
        <f t="shared" ref="Q122:S122" si="123">+F122</f>
        <v>2-Actifs</v>
      </c>
      <c r="R122" s="653" t="str">
        <f t="shared" si="123"/>
        <v>1700</v>
      </c>
      <c r="S122" s="654" t="str">
        <f t="shared" si="123"/>
        <v>_</v>
      </c>
      <c r="T122" s="656" t="str">
        <f>+VLOOKUP($L122,Data_Validation!$A:$D,1,0)</f>
        <v>1734</v>
      </c>
      <c r="U122" s="656" t="str">
        <f>+VLOOKUP($L122,Data_Validation!$A:$D,3,0)</f>
        <v>Bilan</v>
      </c>
      <c r="V122" s="656" t="str">
        <f>+VLOOKUP($L122,Data_Validation!$A:$D,4,0)</f>
        <v>Améliorations Locatives</v>
      </c>
      <c r="W122" s="656" t="str">
        <f>+VLOOKUP($L122,Data_Validation!$A:$E,5,0)</f>
        <v>$</v>
      </c>
      <c r="X122" s="656">
        <f>+VLOOKUP($L122,Data_Validation!$A:$F,6,0)</f>
        <v>0</v>
      </c>
    </row>
    <row r="123" spans="1:24" ht="15.75" customHeight="1">
      <c r="A123" s="1218" t="s">
        <v>3926</v>
      </c>
      <c r="B123" s="1218" t="s">
        <v>3927</v>
      </c>
      <c r="C123" s="1220">
        <v>-2105.5300000000002</v>
      </c>
      <c r="D123" s="1220">
        <v>0</v>
      </c>
      <c r="E123" s="1220">
        <v>-2105.5300000000002</v>
      </c>
      <c r="F123" s="1218" t="s">
        <v>816</v>
      </c>
      <c r="G123" s="1218" t="s">
        <v>885</v>
      </c>
      <c r="H123" s="1218" t="s">
        <v>3950</v>
      </c>
      <c r="I123" s="651"/>
      <c r="J123" s="651"/>
      <c r="K123" s="651"/>
      <c r="L123" s="653" t="str">
        <f t="shared" si="67"/>
        <v>1735</v>
      </c>
      <c r="M123" s="654" t="str">
        <f t="shared" si="0"/>
        <v>AMORT. CUM. AMEL. LOCAT. CPO</v>
      </c>
      <c r="N123" s="655">
        <f>+IF(OR($Q123=Parametres!$G$2,$Q123=Parametres!$G$3),I123,C123)</f>
        <v>-2105.5300000000002</v>
      </c>
      <c r="O123" s="659">
        <f>+IF(OR($Q123=Parametres!$G$2,$Q123=Parametres!$G$3),J123,D123)</f>
        <v>0</v>
      </c>
      <c r="P123" s="655">
        <f>+IF(OR($Q123=Parametres!$G$2,$Q123=Parametres!$G$3),K123,E123)</f>
        <v>-2105.5300000000002</v>
      </c>
      <c r="Q123" s="654" t="str">
        <f t="shared" ref="Q123:S123" si="124">+F123</f>
        <v>2-Actifs</v>
      </c>
      <c r="R123" s="653" t="str">
        <f t="shared" si="124"/>
        <v>1700</v>
      </c>
      <c r="S123" s="654" t="str">
        <f t="shared" si="124"/>
        <v>_</v>
      </c>
      <c r="T123" s="656" t="str">
        <f>+VLOOKUP($L123,Data_Validation!$A:$D,1,0)</f>
        <v>1735</v>
      </c>
      <c r="U123" s="656" t="str">
        <f>+VLOOKUP($L123,Data_Validation!$A:$D,3,0)</f>
        <v>Bilan</v>
      </c>
      <c r="V123" s="656" t="str">
        <f>+VLOOKUP($L123,Data_Validation!$A:$D,4,0)</f>
        <v>Améliorations Locatives</v>
      </c>
      <c r="W123" s="656" t="str">
        <f>+VLOOKUP($L123,Data_Validation!$A:$E,5,0)</f>
        <v>$</v>
      </c>
      <c r="X123" s="656">
        <f>+VLOOKUP($L123,Data_Validation!$A:$F,6,0)</f>
        <v>0</v>
      </c>
    </row>
    <row r="124" spans="1:24" ht="15" customHeight="1">
      <c r="A124" s="1218" t="s">
        <v>3928</v>
      </c>
      <c r="B124" s="1218" t="s">
        <v>3929</v>
      </c>
      <c r="C124" s="1220">
        <v>-49530.29</v>
      </c>
      <c r="D124" s="1220">
        <v>-8255.0499999999993</v>
      </c>
      <c r="E124" s="1220">
        <v>-57785.34</v>
      </c>
      <c r="F124" s="1218" t="s">
        <v>816</v>
      </c>
      <c r="G124" s="1218" t="s">
        <v>885</v>
      </c>
      <c r="H124" s="1218" t="s">
        <v>3950</v>
      </c>
      <c r="I124" s="652"/>
      <c r="J124" s="652"/>
      <c r="K124" s="652"/>
      <c r="L124" s="653" t="str">
        <f t="shared" si="67"/>
        <v>1741</v>
      </c>
      <c r="M124" s="654" t="str">
        <f t="shared" si="0"/>
        <v>AMORT.CUMUL.PROJET VOLKS</v>
      </c>
      <c r="N124" s="655">
        <f>+IF(OR($Q124=Parametres!$G$2,$Q124=Parametres!$G$3),I124,C124)</f>
        <v>-49530.29</v>
      </c>
      <c r="O124" s="655">
        <f>+IF(OR($Q124=Parametres!$G$2,$Q124=Parametres!$G$3),J124,D124)</f>
        <v>-8255.0499999999993</v>
      </c>
      <c r="P124" s="655">
        <f>+IF(OR($Q124=Parametres!$G$2,$Q124=Parametres!$G$3),K124,E124)</f>
        <v>-57785.34</v>
      </c>
      <c r="Q124" s="654" t="str">
        <f t="shared" ref="Q124:S124" si="125">+F124</f>
        <v>2-Actifs</v>
      </c>
      <c r="R124" s="653" t="str">
        <f t="shared" si="125"/>
        <v>1700</v>
      </c>
      <c r="S124" s="654" t="str">
        <f t="shared" si="125"/>
        <v>_</v>
      </c>
      <c r="T124" s="656" t="str">
        <f>+VLOOKUP($L124,Data_Validation!$A:$D,1,0)</f>
        <v>1741</v>
      </c>
      <c r="U124" s="656" t="str">
        <f>+VLOOKUP($L124,Data_Validation!$A:$D,3,0)</f>
        <v>Bilan</v>
      </c>
      <c r="V124" s="656" t="str">
        <f>+VLOOKUP($L124,Data_Validation!$A:$D,4,0)</f>
        <v>Améliorations Locatives</v>
      </c>
      <c r="W124" s="656" t="str">
        <f>+VLOOKUP($L124,Data_Validation!$A:$E,5,0)</f>
        <v>$</v>
      </c>
      <c r="X124" s="656">
        <f>+VLOOKUP($L124,Data_Validation!$A:$F,6,0)</f>
        <v>0</v>
      </c>
    </row>
    <row r="125" spans="1:24" ht="15" customHeight="1">
      <c r="A125" s="1218" t="s">
        <v>887</v>
      </c>
      <c r="B125" s="1218" t="s">
        <v>1591</v>
      </c>
      <c r="C125" s="1220">
        <v>1294424.98</v>
      </c>
      <c r="D125" s="1220">
        <v>0</v>
      </c>
      <c r="E125" s="1220">
        <v>1294424.98</v>
      </c>
      <c r="F125" s="1218" t="s">
        <v>816</v>
      </c>
      <c r="G125" s="1218" t="s">
        <v>885</v>
      </c>
      <c r="H125" s="1218" t="s">
        <v>3950</v>
      </c>
      <c r="I125" s="651"/>
      <c r="J125" s="651"/>
      <c r="K125" s="651"/>
      <c r="L125" s="653" t="str">
        <f t="shared" si="67"/>
        <v>1742</v>
      </c>
      <c r="M125" s="654" t="str">
        <f t="shared" si="0"/>
        <v>MACHINERIE &amp; EQUIPEMENT</v>
      </c>
      <c r="N125" s="655">
        <f>+IF(OR($Q125=Parametres!$G$2,$Q125=Parametres!$G$3),I125,C125)</f>
        <v>1294424.98</v>
      </c>
      <c r="O125" s="655">
        <f>+IF(OR($Q125=Parametres!$G$2,$Q125=Parametres!$G$3),J125,D125)</f>
        <v>0</v>
      </c>
      <c r="P125" s="655">
        <f>+IF(OR($Q125=Parametres!$G$2,$Q125=Parametres!$G$3),K125,E125)</f>
        <v>1294424.98</v>
      </c>
      <c r="Q125" s="654" t="str">
        <f t="shared" ref="Q125:S125" si="126">+F125</f>
        <v>2-Actifs</v>
      </c>
      <c r="R125" s="653" t="str">
        <f t="shared" si="126"/>
        <v>1700</v>
      </c>
      <c r="S125" s="654" t="str">
        <f t="shared" si="126"/>
        <v>_</v>
      </c>
      <c r="T125" s="656" t="str">
        <f>+VLOOKUP($L125,Data_Validation!$A:$D,1,0)</f>
        <v>1742</v>
      </c>
      <c r="U125" s="656" t="str">
        <f>+VLOOKUP($L125,Data_Validation!$A:$D,3,0)</f>
        <v>Bilan</v>
      </c>
      <c r="V125" s="656" t="str">
        <f>+VLOOKUP($L125,Data_Validation!$A:$D,4,0)</f>
        <v>Équipements Service</v>
      </c>
      <c r="W125" s="656" t="str">
        <f>+VLOOKUP($L125,Data_Validation!$A:$E,5,0)</f>
        <v>$</v>
      </c>
      <c r="X125" s="656">
        <f>+VLOOKUP($L125,Data_Validation!$A:$F,6,0)</f>
        <v>0</v>
      </c>
    </row>
    <row r="126" spans="1:24" ht="15" customHeight="1">
      <c r="A126" s="1218" t="s">
        <v>888</v>
      </c>
      <c r="B126" s="1218" t="s">
        <v>1594</v>
      </c>
      <c r="C126" s="1220">
        <v>-908806.16</v>
      </c>
      <c r="D126" s="1220">
        <v>0</v>
      </c>
      <c r="E126" s="1220">
        <v>-908806.16</v>
      </c>
      <c r="F126" s="1218" t="s">
        <v>816</v>
      </c>
      <c r="G126" s="1218" t="s">
        <v>885</v>
      </c>
      <c r="H126" s="1218" t="s">
        <v>3950</v>
      </c>
      <c r="I126" s="652"/>
      <c r="J126" s="652"/>
      <c r="K126" s="652"/>
      <c r="L126" s="653" t="str">
        <f t="shared" si="67"/>
        <v>1743</v>
      </c>
      <c r="M126" s="654" t="str">
        <f t="shared" si="0"/>
        <v>AMORTISS.MACHINERIE &amp; EQUIP.</v>
      </c>
      <c r="N126" s="655">
        <f>+IF(OR($Q126=Parametres!$G$2,$Q126=Parametres!$G$3),I126,C126)</f>
        <v>-908806.16</v>
      </c>
      <c r="O126" s="655">
        <f>+IF(OR($Q126=Parametres!$G$2,$Q126=Parametres!$G$3),J126,D126)</f>
        <v>0</v>
      </c>
      <c r="P126" s="655">
        <f>+IF(OR($Q126=Parametres!$G$2,$Q126=Parametres!$G$3),K126,E126)</f>
        <v>-908806.16</v>
      </c>
      <c r="Q126" s="654" t="str">
        <f t="shared" ref="Q126:S126" si="127">+F126</f>
        <v>2-Actifs</v>
      </c>
      <c r="R126" s="653" t="str">
        <f t="shared" si="127"/>
        <v>1700</v>
      </c>
      <c r="S126" s="654" t="str">
        <f t="shared" si="127"/>
        <v>_</v>
      </c>
      <c r="T126" s="656" t="str">
        <f>+VLOOKUP($L126,Data_Validation!$A:$D,1,0)</f>
        <v>1743</v>
      </c>
      <c r="U126" s="656" t="str">
        <f>+VLOOKUP($L126,Data_Validation!$A:$D,3,0)</f>
        <v>Bilan</v>
      </c>
      <c r="V126" s="656" t="str">
        <f>+VLOOKUP($L126,Data_Validation!$A:$D,4,0)</f>
        <v>Équipements Service</v>
      </c>
      <c r="W126" s="656" t="str">
        <f>+VLOOKUP($L126,Data_Validation!$A:$E,5,0)</f>
        <v>$</v>
      </c>
      <c r="X126" s="656">
        <f>+VLOOKUP($L126,Data_Validation!$A:$F,6,0)</f>
        <v>0</v>
      </c>
    </row>
    <row r="127" spans="1:24" ht="15" customHeight="1">
      <c r="A127" s="1218" t="s">
        <v>889</v>
      </c>
      <c r="B127" s="1218" t="s">
        <v>1597</v>
      </c>
      <c r="C127" s="1220">
        <v>47461.59</v>
      </c>
      <c r="D127" s="1220">
        <v>0</v>
      </c>
      <c r="E127" s="1220">
        <v>47461.59</v>
      </c>
      <c r="F127" s="1218" t="s">
        <v>816</v>
      </c>
      <c r="G127" s="1218" t="s">
        <v>885</v>
      </c>
      <c r="H127" s="1218" t="s">
        <v>3950</v>
      </c>
      <c r="I127" s="663"/>
      <c r="J127" s="663"/>
      <c r="K127" s="663"/>
      <c r="L127" s="653" t="str">
        <f t="shared" si="67"/>
        <v>1744</v>
      </c>
      <c r="M127" s="654" t="str">
        <f t="shared" si="0"/>
        <v>EQUIPEMENT PIECES</v>
      </c>
      <c r="N127" s="655">
        <f>+IF(OR($Q127=Parametres!$G$2,$Q127=Parametres!$G$3),I127,C127)</f>
        <v>47461.59</v>
      </c>
      <c r="O127" s="655">
        <f>+IF(OR($Q127=Parametres!$G$2,$Q127=Parametres!$G$3),J127,D127)</f>
        <v>0</v>
      </c>
      <c r="P127" s="655">
        <f>+IF(OR($Q127=Parametres!$G$2,$Q127=Parametres!$G$3),K127,E127)</f>
        <v>47461.59</v>
      </c>
      <c r="Q127" s="654" t="str">
        <f t="shared" ref="Q127:S127" si="128">+F127</f>
        <v>2-Actifs</v>
      </c>
      <c r="R127" s="653" t="str">
        <f t="shared" si="128"/>
        <v>1700</v>
      </c>
      <c r="S127" s="654" t="str">
        <f t="shared" si="128"/>
        <v>_</v>
      </c>
      <c r="T127" s="656" t="str">
        <f>+VLOOKUP($L127,Data_Validation!$A:$D,1,0)</f>
        <v>1744</v>
      </c>
      <c r="U127" s="656" t="str">
        <f>+VLOOKUP($L127,Data_Validation!$A:$D,3,0)</f>
        <v>Bilan</v>
      </c>
      <c r="V127" s="656" t="str">
        <f>+VLOOKUP($L127,Data_Validation!$A:$D,4,0)</f>
        <v>Équipements Service</v>
      </c>
      <c r="W127" s="656" t="str">
        <f>+VLOOKUP($L127,Data_Validation!$A:$E,5,0)</f>
        <v>$</v>
      </c>
      <c r="X127" s="656">
        <f>+VLOOKUP($L127,Data_Validation!$A:$F,6,0)</f>
        <v>0</v>
      </c>
    </row>
    <row r="128" spans="1:24" ht="15" customHeight="1">
      <c r="A128" s="1218" t="s">
        <v>890</v>
      </c>
      <c r="B128" s="1218" t="s">
        <v>1600</v>
      </c>
      <c r="C128" s="1220">
        <v>-47461.59</v>
      </c>
      <c r="D128" s="1220">
        <v>0</v>
      </c>
      <c r="E128" s="1220">
        <v>-47461.59</v>
      </c>
      <c r="F128" s="1218" t="s">
        <v>816</v>
      </c>
      <c r="G128" s="1218" t="s">
        <v>885</v>
      </c>
      <c r="H128" s="1218" t="s">
        <v>3950</v>
      </c>
      <c r="I128" s="652"/>
      <c r="J128" s="652"/>
      <c r="K128" s="652"/>
      <c r="L128" s="653" t="str">
        <f t="shared" si="67"/>
        <v>1745</v>
      </c>
      <c r="M128" s="654" t="str">
        <f t="shared" si="0"/>
        <v>AMORTISS.EQUIPEMENTS PIECES</v>
      </c>
      <c r="N128" s="655">
        <f>+IF(OR($Q128=Parametres!$G$2,$Q128=Parametres!$G$3),I128,C128)</f>
        <v>-47461.59</v>
      </c>
      <c r="O128" s="655">
        <f>+IF(OR($Q128=Parametres!$G$2,$Q128=Parametres!$G$3),J128,D128)</f>
        <v>0</v>
      </c>
      <c r="P128" s="655">
        <f>+IF(OR($Q128=Parametres!$G$2,$Q128=Parametres!$G$3),K128,E128)</f>
        <v>-47461.59</v>
      </c>
      <c r="Q128" s="654" t="str">
        <f t="shared" ref="Q128:S128" si="129">+F128</f>
        <v>2-Actifs</v>
      </c>
      <c r="R128" s="653" t="str">
        <f t="shared" si="129"/>
        <v>1700</v>
      </c>
      <c r="S128" s="654" t="str">
        <f t="shared" si="129"/>
        <v>_</v>
      </c>
      <c r="T128" s="656" t="str">
        <f>+VLOOKUP($L128,Data_Validation!$A:$D,1,0)</f>
        <v>1745</v>
      </c>
      <c r="U128" s="656" t="str">
        <f>+VLOOKUP($L128,Data_Validation!$A:$D,3,0)</f>
        <v>Bilan</v>
      </c>
      <c r="V128" s="656" t="str">
        <f>+VLOOKUP($L128,Data_Validation!$A:$D,4,0)</f>
        <v>Équipements Service</v>
      </c>
      <c r="W128" s="656" t="str">
        <f>+VLOOKUP($L128,Data_Validation!$A:$E,5,0)</f>
        <v>$</v>
      </c>
      <c r="X128" s="656">
        <f>+VLOOKUP($L128,Data_Validation!$A:$F,6,0)</f>
        <v>0</v>
      </c>
    </row>
    <row r="129" spans="1:24" ht="15" customHeight="1">
      <c r="A129" s="1218" t="s">
        <v>891</v>
      </c>
      <c r="B129" s="1218" t="s">
        <v>1609</v>
      </c>
      <c r="C129" s="1220">
        <v>443854.54</v>
      </c>
      <c r="D129" s="1220">
        <v>7630</v>
      </c>
      <c r="E129" s="1220">
        <v>451484.54</v>
      </c>
      <c r="F129" s="1218" t="s">
        <v>816</v>
      </c>
      <c r="G129" s="1218" t="s">
        <v>885</v>
      </c>
      <c r="H129" s="1218" t="s">
        <v>3950</v>
      </c>
      <c r="I129" s="663"/>
      <c r="J129" s="663"/>
      <c r="K129" s="663"/>
      <c r="L129" s="653" t="str">
        <f t="shared" si="67"/>
        <v>1762</v>
      </c>
      <c r="M129" s="654" t="str">
        <f t="shared" si="0"/>
        <v>AMEUBLEMENT &amp; INSTR.</v>
      </c>
      <c r="N129" s="655">
        <f>+IF(OR($Q129=Parametres!$G$2,$Q129=Parametres!$G$3),I129,C129)</f>
        <v>443854.54</v>
      </c>
      <c r="O129" s="655">
        <f>+IF(OR($Q129=Parametres!$G$2,$Q129=Parametres!$G$3),J129,D129)</f>
        <v>7630</v>
      </c>
      <c r="P129" s="655">
        <f>+IF(OR($Q129=Parametres!$G$2,$Q129=Parametres!$G$3),K129,E129)</f>
        <v>451484.54</v>
      </c>
      <c r="Q129" s="654" t="str">
        <f t="shared" ref="Q129:S129" si="130">+F129</f>
        <v>2-Actifs</v>
      </c>
      <c r="R129" s="653" t="str">
        <f t="shared" si="130"/>
        <v>1700</v>
      </c>
      <c r="S129" s="654" t="str">
        <f t="shared" si="130"/>
        <v>_</v>
      </c>
      <c r="T129" s="656" t="str">
        <f>+VLOOKUP($L129,Data_Validation!$A:$D,1,0)</f>
        <v>1762</v>
      </c>
      <c r="U129" s="656" t="str">
        <f>+VLOOKUP($L129,Data_Validation!$A:$D,3,0)</f>
        <v>Bilan</v>
      </c>
      <c r="V129" s="656" t="str">
        <f>+VLOOKUP($L129,Data_Validation!$A:$D,4,0)</f>
        <v>Mobilier</v>
      </c>
      <c r="W129" s="656" t="str">
        <f>+VLOOKUP($L129,Data_Validation!$A:$E,5,0)</f>
        <v>$</v>
      </c>
      <c r="X129" s="656">
        <f>+VLOOKUP($L129,Data_Validation!$A:$F,6,0)</f>
        <v>0</v>
      </c>
    </row>
    <row r="130" spans="1:24" ht="15" customHeight="1">
      <c r="A130" s="1218" t="s">
        <v>892</v>
      </c>
      <c r="B130" s="1218" t="s">
        <v>1612</v>
      </c>
      <c r="C130" s="1220">
        <v>-421359.73</v>
      </c>
      <c r="D130" s="1220">
        <v>0</v>
      </c>
      <c r="E130" s="1220">
        <v>-421359.73</v>
      </c>
      <c r="F130" s="1218" t="s">
        <v>816</v>
      </c>
      <c r="G130" s="1218" t="s">
        <v>885</v>
      </c>
      <c r="H130" s="1218" t="s">
        <v>3950</v>
      </c>
      <c r="I130" s="651"/>
      <c r="J130" s="651"/>
      <c r="K130" s="651"/>
      <c r="L130" s="653" t="str">
        <f t="shared" si="67"/>
        <v>1763</v>
      </c>
      <c r="M130" s="654" t="str">
        <f t="shared" si="0"/>
        <v>AMORTISS.AMEUBL.INSTR.</v>
      </c>
      <c r="N130" s="655">
        <f>+IF(OR($Q130=Parametres!$G$2,$Q130=Parametres!$G$3),I130,C130)</f>
        <v>-421359.73</v>
      </c>
      <c r="O130" s="655">
        <f>+IF(OR($Q130=Parametres!$G$2,$Q130=Parametres!$G$3),J130,D130)</f>
        <v>0</v>
      </c>
      <c r="P130" s="655">
        <f>+IF(OR($Q130=Parametres!$G$2,$Q130=Parametres!$G$3),K130,E130)</f>
        <v>-421359.73</v>
      </c>
      <c r="Q130" s="654" t="str">
        <f t="shared" ref="Q130:S130" si="131">+F130</f>
        <v>2-Actifs</v>
      </c>
      <c r="R130" s="653" t="str">
        <f t="shared" si="131"/>
        <v>1700</v>
      </c>
      <c r="S130" s="654" t="str">
        <f t="shared" si="131"/>
        <v>_</v>
      </c>
      <c r="T130" s="656" t="str">
        <f>+VLOOKUP($L130,Data_Validation!$A:$D,1,0)</f>
        <v>1763</v>
      </c>
      <c r="U130" s="656" t="str">
        <f>+VLOOKUP($L130,Data_Validation!$A:$D,3,0)</f>
        <v>Bilan</v>
      </c>
      <c r="V130" s="656" t="str">
        <f>+VLOOKUP($L130,Data_Validation!$A:$D,4,0)</f>
        <v>Mobilier</v>
      </c>
      <c r="W130" s="656" t="str">
        <f>+VLOOKUP($L130,Data_Validation!$A:$E,5,0)</f>
        <v>$</v>
      </c>
      <c r="X130" s="656">
        <f>+VLOOKUP($L130,Data_Validation!$A:$F,6,0)</f>
        <v>0</v>
      </c>
    </row>
    <row r="131" spans="1:24" ht="15.75" customHeight="1">
      <c r="A131" s="1218" t="s">
        <v>893</v>
      </c>
      <c r="B131" s="1218" t="s">
        <v>1615</v>
      </c>
      <c r="C131" s="1220">
        <v>3987.88</v>
      </c>
      <c r="D131" s="1220">
        <v>0</v>
      </c>
      <c r="E131" s="1220">
        <v>3987.88</v>
      </c>
      <c r="F131" s="1218" t="s">
        <v>816</v>
      </c>
      <c r="G131" s="1218" t="s">
        <v>885</v>
      </c>
      <c r="H131" s="1218" t="s">
        <v>3950</v>
      </c>
      <c r="I131" s="651"/>
      <c r="J131" s="651"/>
      <c r="K131" s="651"/>
      <c r="L131" s="653" t="str">
        <f t="shared" ref="L131:L179" si="132">TEXT(B131,0)</f>
        <v>1772</v>
      </c>
      <c r="M131" s="654" t="str">
        <f t="shared" si="0"/>
        <v>VEHICULES DE CIE</v>
      </c>
      <c r="N131" s="655">
        <f>+IF(OR($Q131=Parametres!$G$2,$Q131=Parametres!$G$3),I131,C131)</f>
        <v>3987.88</v>
      </c>
      <c r="O131" s="659">
        <f>+IF(OR($Q131=Parametres!$G$2,$Q131=Parametres!$G$3),J131,D131)</f>
        <v>0</v>
      </c>
      <c r="P131" s="655">
        <f>+IF(OR($Q131=Parametres!$G$2,$Q131=Parametres!$G$3),K131,E131)</f>
        <v>3987.88</v>
      </c>
      <c r="Q131" s="654" t="str">
        <f t="shared" ref="Q131:S131" si="133">+F131</f>
        <v>2-Actifs</v>
      </c>
      <c r="R131" s="653" t="str">
        <f t="shared" si="133"/>
        <v>1700</v>
      </c>
      <c r="S131" s="654" t="str">
        <f t="shared" si="133"/>
        <v>_</v>
      </c>
      <c r="T131" s="656" t="str">
        <f>+VLOOKUP($L131,Data_Validation!$A:$D,1,0)</f>
        <v>1772</v>
      </c>
      <c r="U131" s="656" t="str">
        <f>+VLOOKUP($L131,Data_Validation!$A:$D,3,0)</f>
        <v>Bilan</v>
      </c>
      <c r="V131" s="656" t="str">
        <f>+VLOOKUP($L131,Data_Validation!$A:$D,4,0)</f>
        <v>Équipements Service</v>
      </c>
      <c r="W131" s="656" t="str">
        <f>+VLOOKUP($L131,Data_Validation!$A:$E,5,0)</f>
        <v>$</v>
      </c>
      <c r="X131" s="656">
        <f>+VLOOKUP($L131,Data_Validation!$A:$F,6,0)</f>
        <v>0</v>
      </c>
    </row>
    <row r="132" spans="1:24" ht="15" customHeight="1">
      <c r="A132" s="1218" t="s">
        <v>894</v>
      </c>
      <c r="B132" s="1218" t="s">
        <v>1618</v>
      </c>
      <c r="C132" s="1220">
        <v>-3987.88</v>
      </c>
      <c r="D132" s="1220">
        <v>0</v>
      </c>
      <c r="E132" s="1220">
        <v>-3987.88</v>
      </c>
      <c r="F132" s="1218" t="s">
        <v>816</v>
      </c>
      <c r="G132" s="1218" t="s">
        <v>885</v>
      </c>
      <c r="H132" s="1218" t="s">
        <v>3950</v>
      </c>
      <c r="I132" s="651"/>
      <c r="J132" s="651"/>
      <c r="K132" s="651"/>
      <c r="L132" s="653" t="str">
        <f t="shared" si="132"/>
        <v>1773</v>
      </c>
      <c r="M132" s="654" t="str">
        <f t="shared" si="0"/>
        <v>DEPRECIATION &amp; AMORT.</v>
      </c>
      <c r="N132" s="655">
        <f>+IF(OR($Q132=Parametres!$G$2,$Q132=Parametres!$G$3),I132,C132)</f>
        <v>-3987.88</v>
      </c>
      <c r="O132" s="655">
        <f>+IF(OR($Q132=Parametres!$G$2,$Q132=Parametres!$G$3),J132,D132)</f>
        <v>0</v>
      </c>
      <c r="P132" s="655">
        <f>+IF(OR($Q132=Parametres!$G$2,$Q132=Parametres!$G$3),K132,E132)</f>
        <v>-3987.88</v>
      </c>
      <c r="Q132" s="654" t="str">
        <f t="shared" ref="Q132:S132" si="134">+F132</f>
        <v>2-Actifs</v>
      </c>
      <c r="R132" s="653" t="str">
        <f t="shared" si="134"/>
        <v>1700</v>
      </c>
      <c r="S132" s="654" t="str">
        <f t="shared" si="134"/>
        <v>_</v>
      </c>
      <c r="T132" s="656" t="str">
        <f>+VLOOKUP($L132,Data_Validation!$A:$D,1,0)</f>
        <v>1773</v>
      </c>
      <c r="U132" s="656" t="str">
        <f>+VLOOKUP($L132,Data_Validation!$A:$D,3,0)</f>
        <v>Bilan</v>
      </c>
      <c r="V132" s="656" t="str">
        <f>+VLOOKUP($L132,Data_Validation!$A:$D,4,0)</f>
        <v>Équipements Service</v>
      </c>
      <c r="W132" s="656" t="str">
        <f>+VLOOKUP($L132,Data_Validation!$A:$E,5,0)</f>
        <v>$</v>
      </c>
      <c r="X132" s="656">
        <f>+VLOOKUP($L132,Data_Validation!$A:$F,6,0)</f>
        <v>0</v>
      </c>
    </row>
    <row r="133" spans="1:24" ht="15" customHeight="1">
      <c r="A133" s="1218" t="s">
        <v>895</v>
      </c>
      <c r="B133" s="1218" t="s">
        <v>1621</v>
      </c>
      <c r="C133" s="1220">
        <v>189957.05</v>
      </c>
      <c r="D133" s="1220">
        <v>0</v>
      </c>
      <c r="E133" s="1220">
        <v>189957.05</v>
      </c>
      <c r="F133" s="1218" t="s">
        <v>816</v>
      </c>
      <c r="G133" s="1218" t="s">
        <v>885</v>
      </c>
      <c r="H133" s="1218" t="s">
        <v>3950</v>
      </c>
      <c r="I133" s="652"/>
      <c r="J133" s="652"/>
      <c r="K133" s="652"/>
      <c r="L133" s="653" t="str">
        <f t="shared" si="132"/>
        <v>1786</v>
      </c>
      <c r="M133" s="654" t="str">
        <f t="shared" si="0"/>
        <v>EQUIPEMENT INFORMATIQUE</v>
      </c>
      <c r="N133" s="655">
        <f>+IF(OR($Q133=Parametres!$G$2,$Q133=Parametres!$G$3),I133,C133)</f>
        <v>189957.05</v>
      </c>
      <c r="O133" s="655">
        <f>+IF(OR($Q133=Parametres!$G$2,$Q133=Parametres!$G$3),J133,D133)</f>
        <v>0</v>
      </c>
      <c r="P133" s="655">
        <f>+IF(OR($Q133=Parametres!$G$2,$Q133=Parametres!$G$3),K133,E133)</f>
        <v>189957.05</v>
      </c>
      <c r="Q133" s="654" t="str">
        <f t="shared" ref="Q133:S133" si="135">+F133</f>
        <v>2-Actifs</v>
      </c>
      <c r="R133" s="653" t="str">
        <f t="shared" si="135"/>
        <v>1700</v>
      </c>
      <c r="S133" s="654" t="str">
        <f t="shared" si="135"/>
        <v>_</v>
      </c>
      <c r="T133" s="656" t="str">
        <f>+VLOOKUP($L133,Data_Validation!$A:$D,1,0)</f>
        <v>1786</v>
      </c>
      <c r="U133" s="656" t="str">
        <f>+VLOOKUP($L133,Data_Validation!$A:$D,3,0)</f>
        <v>Bilan</v>
      </c>
      <c r="V133" s="656" t="str">
        <f>+VLOOKUP($L133,Data_Validation!$A:$D,4,0)</f>
        <v>Équipements Informatique</v>
      </c>
      <c r="W133" s="656" t="str">
        <f>+VLOOKUP($L133,Data_Validation!$A:$E,5,0)</f>
        <v>$</v>
      </c>
      <c r="X133" s="656">
        <f>+VLOOKUP($L133,Data_Validation!$A:$F,6,0)</f>
        <v>0</v>
      </c>
    </row>
    <row r="134" spans="1:24" ht="15" customHeight="1">
      <c r="A134" s="1218" t="s">
        <v>896</v>
      </c>
      <c r="B134" s="1218" t="s">
        <v>1624</v>
      </c>
      <c r="C134" s="1220">
        <v>-129236.24</v>
      </c>
      <c r="D134" s="1220">
        <v>0</v>
      </c>
      <c r="E134" s="1220">
        <v>-129236.24</v>
      </c>
      <c r="F134" s="1218" t="s">
        <v>816</v>
      </c>
      <c r="G134" s="1218" t="s">
        <v>885</v>
      </c>
      <c r="H134" s="1218" t="s">
        <v>3950</v>
      </c>
      <c r="I134" s="652"/>
      <c r="J134" s="652"/>
      <c r="K134" s="652"/>
      <c r="L134" s="653" t="str">
        <f t="shared" si="132"/>
        <v>1787</v>
      </c>
      <c r="M134" s="654" t="str">
        <f t="shared" si="0"/>
        <v>AMORTISS.EQUIP.INFORMATIQUES</v>
      </c>
      <c r="N134" s="655">
        <f>+IF(OR($Q134=Parametres!$G$2,$Q134=Parametres!$G$3),I134,C134)</f>
        <v>-129236.24</v>
      </c>
      <c r="O134" s="655">
        <f>+IF(OR($Q134=Parametres!$G$2,$Q134=Parametres!$G$3),J134,D134)</f>
        <v>0</v>
      </c>
      <c r="P134" s="655">
        <f>+IF(OR($Q134=Parametres!$G$2,$Q134=Parametres!$G$3),K134,E134)</f>
        <v>-129236.24</v>
      </c>
      <c r="Q134" s="654" t="str">
        <f t="shared" ref="Q134:S134" si="136">+F134</f>
        <v>2-Actifs</v>
      </c>
      <c r="R134" s="653" t="str">
        <f t="shared" si="136"/>
        <v>1700</v>
      </c>
      <c r="S134" s="654" t="str">
        <f t="shared" si="136"/>
        <v>_</v>
      </c>
      <c r="T134" s="656" t="str">
        <f>+VLOOKUP($L134,Data_Validation!$A:$D,1,0)</f>
        <v>1787</v>
      </c>
      <c r="U134" s="656" t="str">
        <f>+VLOOKUP($L134,Data_Validation!$A:$D,3,0)</f>
        <v>Bilan</v>
      </c>
      <c r="V134" s="656" t="str">
        <f>+VLOOKUP($L134,Data_Validation!$A:$D,4,0)</f>
        <v>Équipements Informatique</v>
      </c>
      <c r="W134" s="656" t="str">
        <f>+VLOOKUP($L134,Data_Validation!$A:$E,5,0)</f>
        <v>$</v>
      </c>
      <c r="X134" s="656">
        <f>+VLOOKUP($L134,Data_Validation!$A:$F,6,0)</f>
        <v>0</v>
      </c>
    </row>
    <row r="135" spans="1:24" ht="15.75" customHeight="1">
      <c r="A135" s="1218" t="s">
        <v>897</v>
      </c>
      <c r="B135" s="1218" t="s">
        <v>1627</v>
      </c>
      <c r="C135" s="1220">
        <v>120405.66</v>
      </c>
      <c r="D135" s="1220">
        <v>5315</v>
      </c>
      <c r="E135" s="1220">
        <v>125720.66</v>
      </c>
      <c r="F135" s="1218" t="s">
        <v>816</v>
      </c>
      <c r="G135" s="1218" t="s">
        <v>885</v>
      </c>
      <c r="H135" s="1218" t="s">
        <v>3950</v>
      </c>
      <c r="I135" s="652"/>
      <c r="J135" s="652"/>
      <c r="K135" s="652"/>
      <c r="L135" s="653" t="str">
        <f t="shared" si="132"/>
        <v>1792</v>
      </c>
      <c r="M135" s="654" t="str">
        <f t="shared" si="0"/>
        <v>ENSEIGNES</v>
      </c>
      <c r="N135" s="655">
        <f>+IF(OR($Q135=Parametres!$G$2,$Q135=Parametres!$G$3),I135,C135)</f>
        <v>120405.66</v>
      </c>
      <c r="O135" s="655">
        <f>+IF(OR($Q135=Parametres!$G$2,$Q135=Parametres!$G$3),J135,D135)</f>
        <v>5315</v>
      </c>
      <c r="P135" s="655">
        <f>+IF(OR($Q135=Parametres!$G$2,$Q135=Parametres!$G$3),K135,E135)</f>
        <v>125720.66</v>
      </c>
      <c r="Q135" s="654" t="str">
        <f t="shared" ref="Q135:S135" si="137">+F135</f>
        <v>2-Actifs</v>
      </c>
      <c r="R135" s="653" t="str">
        <f t="shared" si="137"/>
        <v>1700</v>
      </c>
      <c r="S135" s="654" t="str">
        <f t="shared" si="137"/>
        <v>_</v>
      </c>
      <c r="T135" s="656" t="str">
        <f>+VLOOKUP($L135,Data_Validation!$A:$D,1,0)</f>
        <v>1792</v>
      </c>
      <c r="U135" s="656" t="str">
        <f>+VLOOKUP($L135,Data_Validation!$A:$D,3,0)</f>
        <v>Bilan</v>
      </c>
      <c r="V135" s="656" t="str">
        <f>+VLOOKUP($L135,Data_Validation!$A:$D,4,0)</f>
        <v>Enseigne</v>
      </c>
      <c r="W135" s="656" t="str">
        <f>+VLOOKUP($L135,Data_Validation!$A:$E,5,0)</f>
        <v>$</v>
      </c>
      <c r="X135" s="656">
        <f>+VLOOKUP($L135,Data_Validation!$A:$F,6,0)</f>
        <v>0</v>
      </c>
    </row>
    <row r="136" spans="1:24" ht="15" customHeight="1">
      <c r="A136" s="1218" t="s">
        <v>898</v>
      </c>
      <c r="B136" s="1218" t="s">
        <v>1630</v>
      </c>
      <c r="C136" s="1220">
        <v>-119393.65</v>
      </c>
      <c r="D136" s="1220">
        <v>0</v>
      </c>
      <c r="E136" s="1220">
        <v>-119393.65</v>
      </c>
      <c r="F136" s="1218" t="s">
        <v>816</v>
      </c>
      <c r="G136" s="1218" t="s">
        <v>885</v>
      </c>
      <c r="H136" s="1218" t="s">
        <v>3950</v>
      </c>
      <c r="I136" s="652"/>
      <c r="J136" s="652"/>
      <c r="K136" s="652"/>
      <c r="L136" s="653" t="str">
        <f t="shared" ref="L136:L151" si="138">TEXT(B136,0)</f>
        <v>1793</v>
      </c>
      <c r="M136" s="654" t="str">
        <f t="shared" ref="M136:M151" si="139">+A136</f>
        <v>AMORT. CUM. ENSEIGNES</v>
      </c>
      <c r="N136" s="655">
        <f>+IF(OR($Q136=Parametres!$G$2,$Q136=Parametres!$G$3),I136,C136)</f>
        <v>-119393.65</v>
      </c>
      <c r="O136" s="655">
        <f>+IF(OR($Q136=Parametres!$G$2,$Q136=Parametres!$G$3),J136,D136)</f>
        <v>0</v>
      </c>
      <c r="P136" s="655">
        <f>+IF(OR($Q136=Parametres!$G$2,$Q136=Parametres!$G$3),K136,E136)</f>
        <v>-119393.65</v>
      </c>
      <c r="Q136" s="654" t="str">
        <f t="shared" ref="Q136:Q151" si="140">+F136</f>
        <v>2-Actifs</v>
      </c>
      <c r="R136" s="653" t="str">
        <f t="shared" ref="R136:R151" si="141">+G136</f>
        <v>1700</v>
      </c>
      <c r="S136" s="654" t="str">
        <f t="shared" ref="S136:S151" si="142">+H136</f>
        <v>_</v>
      </c>
      <c r="T136" s="656" t="str">
        <f>+VLOOKUP($L136,Data_Validation!$A:$D,1,0)</f>
        <v>1793</v>
      </c>
      <c r="U136" s="656" t="str">
        <f>+VLOOKUP($L136,Data_Validation!$A:$D,3,0)</f>
        <v>Bilan</v>
      </c>
      <c r="V136" s="656" t="str">
        <f>+VLOOKUP($L136,Data_Validation!$A:$D,4,0)</f>
        <v>Enseigne</v>
      </c>
      <c r="W136" s="656" t="str">
        <f>+VLOOKUP($L136,Data_Validation!$A:$E,5,0)</f>
        <v>$</v>
      </c>
      <c r="X136" s="656">
        <f>+VLOOKUP($L136,Data_Validation!$A:$F,6,0)</f>
        <v>0</v>
      </c>
    </row>
    <row r="137" spans="1:24" ht="15" customHeight="1">
      <c r="A137" s="1218" t="s">
        <v>3335</v>
      </c>
      <c r="B137" s="1218" t="s">
        <v>899</v>
      </c>
      <c r="C137" s="1220">
        <v>2123600</v>
      </c>
      <c r="D137" s="1220">
        <v>200000</v>
      </c>
      <c r="E137" s="1220">
        <v>2323600</v>
      </c>
      <c r="F137" s="1218" t="s">
        <v>816</v>
      </c>
      <c r="G137" s="1218" t="s">
        <v>899</v>
      </c>
      <c r="H137" s="1218" t="s">
        <v>3950</v>
      </c>
      <c r="I137" s="652"/>
      <c r="J137" s="652"/>
      <c r="K137" s="652"/>
      <c r="L137" s="653" t="str">
        <f t="shared" si="138"/>
        <v>1804</v>
      </c>
      <c r="M137" s="654" t="str">
        <f t="shared" si="139"/>
        <v>AVANCES COMPLEXE INTERCO</v>
      </c>
      <c r="N137" s="655">
        <f>+IF(OR($Q137=Parametres!$G$2,$Q137=Parametres!$G$3),I137,C137)</f>
        <v>2123600</v>
      </c>
      <c r="O137" s="655">
        <f>+IF(OR($Q137=Parametres!$G$2,$Q137=Parametres!$G$3),J137,D137)</f>
        <v>200000</v>
      </c>
      <c r="P137" s="655">
        <f>+IF(OR($Q137=Parametres!$G$2,$Q137=Parametres!$G$3),K137,E137)</f>
        <v>2323600</v>
      </c>
      <c r="Q137" s="654" t="str">
        <f t="shared" si="140"/>
        <v>2-Actifs</v>
      </c>
      <c r="R137" s="653" t="str">
        <f t="shared" si="141"/>
        <v>1804</v>
      </c>
      <c r="S137" s="654" t="str">
        <f t="shared" si="142"/>
        <v>_</v>
      </c>
      <c r="T137" s="656" t="str">
        <f>+VLOOKUP($L137,Data_Validation!$A:$D,1,0)</f>
        <v>1804</v>
      </c>
      <c r="U137" s="656" t="str">
        <f>+VLOOKUP($L137,Data_Validation!$A:$D,3,0)</f>
        <v>Bilan</v>
      </c>
      <c r="V137" s="656" t="str">
        <f>+VLOOKUP($L137,Data_Validation!$A:$D,4,0)</f>
        <v>Avances à Recevoir Long Terme</v>
      </c>
      <c r="W137" s="656" t="str">
        <f>+VLOOKUP($L137,Data_Validation!$A:$E,5,0)</f>
        <v>$</v>
      </c>
      <c r="X137" s="656">
        <f>+VLOOKUP($L137,Data_Validation!$A:$F,6,0)</f>
        <v>0</v>
      </c>
    </row>
    <row r="138" spans="1:24" ht="15" customHeight="1">
      <c r="A138" s="1218" t="s">
        <v>900</v>
      </c>
      <c r="B138" s="1218" t="s">
        <v>1635</v>
      </c>
      <c r="C138" s="1220">
        <v>767.14</v>
      </c>
      <c r="D138" s="1220">
        <v>2266.1999999999998</v>
      </c>
      <c r="E138" s="1220">
        <v>3033.34</v>
      </c>
      <c r="F138" s="1218" t="s">
        <v>816</v>
      </c>
      <c r="G138" s="1218" t="s">
        <v>821</v>
      </c>
      <c r="H138" s="1218" t="s">
        <v>3950</v>
      </c>
      <c r="I138" s="663"/>
      <c r="J138" s="663"/>
      <c r="K138" s="663"/>
      <c r="L138" s="653" t="str">
        <f t="shared" si="138"/>
        <v>1806</v>
      </c>
      <c r="M138" s="654" t="str">
        <f t="shared" si="139"/>
        <v>FINANCEMENT RECEVABLE</v>
      </c>
      <c r="N138" s="655">
        <f>+IF(OR($Q138=Parametres!$G$2,$Q138=Parametres!$G$3),I138,C138)</f>
        <v>767.14</v>
      </c>
      <c r="O138" s="655">
        <f>+IF(OR($Q138=Parametres!$G$2,$Q138=Parametres!$G$3),J138,D138)</f>
        <v>2266.1999999999998</v>
      </c>
      <c r="P138" s="655">
        <f>+IF(OR($Q138=Parametres!$G$2,$Q138=Parametres!$G$3),K138,E138)</f>
        <v>3033.34</v>
      </c>
      <c r="Q138" s="654" t="str">
        <f t="shared" si="140"/>
        <v>2-Actifs</v>
      </c>
      <c r="R138" s="653" t="str">
        <f t="shared" si="141"/>
        <v>1382</v>
      </c>
      <c r="S138" s="654" t="str">
        <f t="shared" si="142"/>
        <v>_</v>
      </c>
      <c r="T138" s="656" t="str">
        <f>+VLOOKUP($L138,Data_Validation!$A:$D,1,0)</f>
        <v>1806</v>
      </c>
      <c r="U138" s="656" t="str">
        <f>+VLOOKUP($L138,Data_Validation!$A:$D,3,0)</f>
        <v>Bilan</v>
      </c>
      <c r="V138" s="656" t="str">
        <f>+VLOOKUP($L138,Data_Validation!$A:$D,4,0)</f>
        <v>Recevables Autres</v>
      </c>
      <c r="W138" s="656" t="str">
        <f>+VLOOKUP($L138,Data_Validation!$A:$E,5,0)</f>
        <v>$</v>
      </c>
      <c r="X138" s="656">
        <f>+VLOOKUP($L138,Data_Validation!$A:$F,6,0)</f>
        <v>0</v>
      </c>
    </row>
    <row r="139" spans="1:24" ht="15.75" customHeight="1">
      <c r="A139" s="1218" t="s">
        <v>901</v>
      </c>
      <c r="B139" s="1218" t="s">
        <v>903</v>
      </c>
      <c r="C139" s="1220">
        <v>-5749859.4100000001</v>
      </c>
      <c r="D139" s="1220">
        <v>-857540.69</v>
      </c>
      <c r="E139" s="1220">
        <v>-6607400.0999999996</v>
      </c>
      <c r="F139" s="1218" t="s">
        <v>902</v>
      </c>
      <c r="G139" s="1218" t="s">
        <v>903</v>
      </c>
      <c r="H139" s="1218" t="s">
        <v>3950</v>
      </c>
      <c r="I139" s="652"/>
      <c r="J139" s="652"/>
      <c r="K139" s="652"/>
      <c r="L139" s="653" t="str">
        <f t="shared" si="138"/>
        <v>2101</v>
      </c>
      <c r="M139" s="654" t="str">
        <f t="shared" si="139"/>
        <v>NOTE A PAYER VEH. NEUFS VOLKS</v>
      </c>
      <c r="N139" s="655">
        <f>+IF(OR($Q139=Parametres!$G$2,$Q139=Parametres!$G$3),I139,C139)</f>
        <v>-5749859.4100000001</v>
      </c>
      <c r="O139" s="655">
        <f>+IF(OR($Q139=Parametres!$G$2,$Q139=Parametres!$G$3),J139,D139)</f>
        <v>-857540.69</v>
      </c>
      <c r="P139" s="655">
        <f>+IF(OR($Q139=Parametres!$G$2,$Q139=Parametres!$G$3),K139,E139)</f>
        <v>-6607400.0999999996</v>
      </c>
      <c r="Q139" s="654" t="str">
        <f t="shared" si="140"/>
        <v>3-Passifs</v>
      </c>
      <c r="R139" s="653" t="str">
        <f t="shared" si="141"/>
        <v>2101</v>
      </c>
      <c r="S139" s="654" t="str">
        <f t="shared" si="142"/>
        <v>_</v>
      </c>
      <c r="T139" s="656" t="str">
        <f>+VLOOKUP($L139,Data_Validation!$A:$D,1,0)</f>
        <v>2101</v>
      </c>
      <c r="U139" s="656" t="str">
        <f>+VLOOKUP($L139,Data_Validation!$A:$D,3,0)</f>
        <v>Bilan</v>
      </c>
      <c r="V139" s="656" t="str">
        <f>+VLOOKUP($L139,Data_Validation!$A:$D,4,0)</f>
        <v>Effet à Payer Véhicules Neufs</v>
      </c>
      <c r="W139" s="656" t="str">
        <f>+VLOOKUP($L139,Data_Validation!$A:$E,5,0)</f>
        <v>$</v>
      </c>
      <c r="X139" s="656">
        <f>+VLOOKUP($L139,Data_Validation!$A:$F,6,0)</f>
        <v>0</v>
      </c>
    </row>
    <row r="140" spans="1:24" ht="15" customHeight="1">
      <c r="A140" s="1218" t="s">
        <v>904</v>
      </c>
      <c r="B140" s="1218" t="s">
        <v>905</v>
      </c>
      <c r="C140" s="1220">
        <v>-1017474.06</v>
      </c>
      <c r="D140" s="1220">
        <v>403358.78</v>
      </c>
      <c r="E140" s="1220">
        <v>-614115.28</v>
      </c>
      <c r="F140" s="1218" t="s">
        <v>902</v>
      </c>
      <c r="G140" s="1218" t="s">
        <v>905</v>
      </c>
      <c r="H140" s="1218" t="s">
        <v>3950</v>
      </c>
      <c r="I140" s="652"/>
      <c r="J140" s="652"/>
      <c r="K140" s="652"/>
      <c r="L140" s="653" t="str">
        <f t="shared" si="138"/>
        <v>2103</v>
      </c>
      <c r="M140" s="654" t="str">
        <f t="shared" si="139"/>
        <v>NOTE PAYABLE-FIN. VEH. USAG.</v>
      </c>
      <c r="N140" s="655">
        <f>+IF(OR($Q140=Parametres!$G$2,$Q140=Parametres!$G$3),I140,C140)</f>
        <v>-1017474.06</v>
      </c>
      <c r="O140" s="655">
        <f>+IF(OR($Q140=Parametres!$G$2,$Q140=Parametres!$G$3),J140,D140)</f>
        <v>403358.78</v>
      </c>
      <c r="P140" s="655">
        <f>+IF(OR($Q140=Parametres!$G$2,$Q140=Parametres!$G$3),K140,E140)</f>
        <v>-614115.28</v>
      </c>
      <c r="Q140" s="654" t="str">
        <f t="shared" si="140"/>
        <v>3-Passifs</v>
      </c>
      <c r="R140" s="653" t="str">
        <f t="shared" si="141"/>
        <v>2103</v>
      </c>
      <c r="S140" s="654" t="str">
        <f t="shared" si="142"/>
        <v>_</v>
      </c>
      <c r="T140" s="656" t="str">
        <f>+VLOOKUP($L140,Data_Validation!$A:$D,1,0)</f>
        <v>2103</v>
      </c>
      <c r="U140" s="656" t="str">
        <f>+VLOOKUP($L140,Data_Validation!$A:$D,3,0)</f>
        <v>Bilan</v>
      </c>
      <c r="V140" s="656" t="str">
        <f>+VLOOKUP($L140,Data_Validation!$A:$D,4,0)</f>
        <v>Effet à Payer Véhicules Usagés</v>
      </c>
      <c r="W140" s="656" t="str">
        <f>+VLOOKUP($L140,Data_Validation!$A:$E,5,0)</f>
        <v>$</v>
      </c>
      <c r="X140" s="656">
        <f>+VLOOKUP($L140,Data_Validation!$A:$F,6,0)</f>
        <v>0</v>
      </c>
    </row>
    <row r="141" spans="1:24" ht="15" customHeight="1">
      <c r="A141" s="1218" t="s">
        <v>910</v>
      </c>
      <c r="B141" s="1218" t="s">
        <v>911</v>
      </c>
      <c r="C141" s="1220">
        <v>-83362.429999999993</v>
      </c>
      <c r="D141" s="1220">
        <v>-51382.5</v>
      </c>
      <c r="E141" s="1220">
        <v>-134744.93</v>
      </c>
      <c r="F141" s="1218" t="s">
        <v>902</v>
      </c>
      <c r="G141" s="1218" t="s">
        <v>911</v>
      </c>
      <c r="H141" s="1218" t="s">
        <v>3950</v>
      </c>
      <c r="I141" s="663"/>
      <c r="J141" s="663"/>
      <c r="K141" s="663"/>
      <c r="L141" s="653" t="str">
        <f t="shared" si="138"/>
        <v>2221</v>
      </c>
      <c r="M141" s="654" t="str">
        <f t="shared" si="139"/>
        <v>TVQ A PAYER</v>
      </c>
      <c r="N141" s="655">
        <f>+IF(OR($Q141=Parametres!$G$2,$Q141=Parametres!$G$3),I141,C141)</f>
        <v>-83362.429999999993</v>
      </c>
      <c r="O141" s="655">
        <f>+IF(OR($Q141=Parametres!$G$2,$Q141=Parametres!$G$3),J141,D141)</f>
        <v>-51382.5</v>
      </c>
      <c r="P141" s="655">
        <f>+IF(OR($Q141=Parametres!$G$2,$Q141=Parametres!$G$3),K141,E141)</f>
        <v>-134744.93</v>
      </c>
      <c r="Q141" s="654" t="str">
        <f t="shared" si="140"/>
        <v>3-Passifs</v>
      </c>
      <c r="R141" s="653" t="str">
        <f t="shared" si="141"/>
        <v>2221</v>
      </c>
      <c r="S141" s="654" t="str">
        <f t="shared" si="142"/>
        <v>_</v>
      </c>
      <c r="T141" s="656" t="str">
        <f>+VLOOKUP($L141,Data_Validation!$A:$D,1,0)</f>
        <v>2221</v>
      </c>
      <c r="U141" s="656" t="str">
        <f>+VLOOKUP($L141,Data_Validation!$A:$D,3,0)</f>
        <v>Bilan</v>
      </c>
      <c r="V141" s="656" t="str">
        <f>+VLOOKUP($L141,Data_Validation!$A:$D,4,0)</f>
        <v>Taxes de Vente à Payer</v>
      </c>
      <c r="W141" s="656" t="str">
        <f>+VLOOKUP($L141,Data_Validation!$A:$E,5,0)</f>
        <v>$</v>
      </c>
      <c r="X141" s="656">
        <f>+VLOOKUP($L141,Data_Validation!$A:$F,6,0)</f>
        <v>0</v>
      </c>
    </row>
    <row r="142" spans="1:24" ht="15" customHeight="1">
      <c r="A142" s="1218" t="s">
        <v>912</v>
      </c>
      <c r="B142" s="1218" t="s">
        <v>1652</v>
      </c>
      <c r="C142" s="1220">
        <v>56698.59</v>
      </c>
      <c r="D142" s="1220">
        <v>6486.22</v>
      </c>
      <c r="E142" s="1220">
        <v>63184.81</v>
      </c>
      <c r="F142" s="1218" t="s">
        <v>902</v>
      </c>
      <c r="G142" s="1218" t="s">
        <v>911</v>
      </c>
      <c r="H142" s="1218" t="s">
        <v>3950</v>
      </c>
      <c r="I142" s="663"/>
      <c r="J142" s="663"/>
      <c r="K142" s="663"/>
      <c r="L142" s="653" t="str">
        <f t="shared" si="138"/>
        <v>2222</v>
      </c>
      <c r="M142" s="654" t="str">
        <f t="shared" si="139"/>
        <v>TVQ A RECEVOIR</v>
      </c>
      <c r="N142" s="655">
        <f>+IF(OR($Q142=Parametres!$G$2,$Q142=Parametres!$G$3),I142,C142)</f>
        <v>56698.59</v>
      </c>
      <c r="O142" s="655">
        <f>+IF(OR($Q142=Parametres!$G$2,$Q142=Parametres!$G$3),J142,D142)</f>
        <v>6486.22</v>
      </c>
      <c r="P142" s="655">
        <f>+IF(OR($Q142=Parametres!$G$2,$Q142=Parametres!$G$3),K142,E142)</f>
        <v>63184.81</v>
      </c>
      <c r="Q142" s="654" t="str">
        <f t="shared" si="140"/>
        <v>3-Passifs</v>
      </c>
      <c r="R142" s="653" t="str">
        <f t="shared" si="141"/>
        <v>2221</v>
      </c>
      <c r="S142" s="654" t="str">
        <f t="shared" si="142"/>
        <v>_</v>
      </c>
      <c r="T142" s="656" t="str">
        <f>+VLOOKUP($L142,Data_Validation!$A:$D,1,0)</f>
        <v>2222</v>
      </c>
      <c r="U142" s="656" t="str">
        <f>+VLOOKUP($L142,Data_Validation!$A:$D,3,0)</f>
        <v>Bilan</v>
      </c>
      <c r="V142" s="656" t="str">
        <f>+VLOOKUP($L142,Data_Validation!$A:$D,4,0)</f>
        <v>Taxes de Vente à Payer</v>
      </c>
      <c r="W142" s="656" t="str">
        <f>+VLOOKUP($L142,Data_Validation!$A:$E,5,0)</f>
        <v>$</v>
      </c>
      <c r="X142" s="656">
        <f>+VLOOKUP($L142,Data_Validation!$A:$F,6,0)</f>
        <v>0</v>
      </c>
    </row>
    <row r="143" spans="1:24" ht="15.75" customHeight="1">
      <c r="A143" s="1218" t="s">
        <v>913</v>
      </c>
      <c r="B143" s="1218" t="s">
        <v>914</v>
      </c>
      <c r="C143" s="1220">
        <v>-238640.97</v>
      </c>
      <c r="D143" s="1220">
        <v>-101803.02</v>
      </c>
      <c r="E143" s="1220">
        <v>-340443.99</v>
      </c>
      <c r="F143" s="1218" t="s">
        <v>902</v>
      </c>
      <c r="G143" s="1218" t="s">
        <v>914</v>
      </c>
      <c r="H143" s="1218" t="s">
        <v>3950</v>
      </c>
      <c r="I143" s="652"/>
      <c r="J143" s="652"/>
      <c r="K143" s="652"/>
      <c r="L143" s="653" t="str">
        <f t="shared" si="138"/>
        <v>2223</v>
      </c>
      <c r="M143" s="654" t="str">
        <f t="shared" si="139"/>
        <v>TPS A PAYER</v>
      </c>
      <c r="N143" s="655">
        <f>+IF(OR($Q143=Parametres!$G$2,$Q143=Parametres!$G$3),I143,C143)</f>
        <v>-238640.97</v>
      </c>
      <c r="O143" s="655">
        <f>+IF(OR($Q143=Parametres!$G$2,$Q143=Parametres!$G$3),J143,D143)</f>
        <v>-101803.02</v>
      </c>
      <c r="P143" s="655">
        <f>+IF(OR($Q143=Parametres!$G$2,$Q143=Parametres!$G$3),K143,E143)</f>
        <v>-340443.99</v>
      </c>
      <c r="Q143" s="654" t="str">
        <f t="shared" si="140"/>
        <v>3-Passifs</v>
      </c>
      <c r="R143" s="653" t="str">
        <f t="shared" si="141"/>
        <v>2223</v>
      </c>
      <c r="S143" s="654" t="str">
        <f t="shared" si="142"/>
        <v>_</v>
      </c>
      <c r="T143" s="656" t="str">
        <f>+VLOOKUP($L143,Data_Validation!$A:$D,1,0)</f>
        <v>2223</v>
      </c>
      <c r="U143" s="656" t="str">
        <f>+VLOOKUP($L143,Data_Validation!$A:$D,3,0)</f>
        <v>Bilan</v>
      </c>
      <c r="V143" s="656" t="str">
        <f>+VLOOKUP($L143,Data_Validation!$A:$D,4,0)</f>
        <v>Taxes de Vente à Payer</v>
      </c>
      <c r="W143" s="656" t="str">
        <f>+VLOOKUP($L143,Data_Validation!$A:$E,5,0)</f>
        <v>$</v>
      </c>
      <c r="X143" s="656">
        <f>+VLOOKUP($L143,Data_Validation!$A:$F,6,0)</f>
        <v>0</v>
      </c>
    </row>
    <row r="144" spans="1:24" ht="15" customHeight="1">
      <c r="A144" s="1218" t="s">
        <v>915</v>
      </c>
      <c r="B144" s="1218" t="s">
        <v>1657</v>
      </c>
      <c r="C144" s="1220">
        <v>268213.7</v>
      </c>
      <c r="D144" s="1220">
        <v>70180.23</v>
      </c>
      <c r="E144" s="1220">
        <v>338393.93</v>
      </c>
      <c r="F144" s="1218" t="s">
        <v>902</v>
      </c>
      <c r="G144" s="1218" t="s">
        <v>914</v>
      </c>
      <c r="H144" s="1218" t="s">
        <v>3950</v>
      </c>
      <c r="I144" s="652"/>
      <c r="J144" s="652"/>
      <c r="K144" s="652"/>
      <c r="L144" s="653" t="str">
        <f t="shared" si="138"/>
        <v>2224</v>
      </c>
      <c r="M144" s="654" t="str">
        <f t="shared" si="139"/>
        <v>TPS A RECEVOIR</v>
      </c>
      <c r="N144" s="655">
        <f>+IF(OR($Q144=Parametres!$G$2,$Q144=Parametres!$G$3),I144,C144)</f>
        <v>268213.7</v>
      </c>
      <c r="O144" s="655">
        <f>+IF(OR($Q144=Parametres!$G$2,$Q144=Parametres!$G$3),J144,D144)</f>
        <v>70180.23</v>
      </c>
      <c r="P144" s="655">
        <f>+IF(OR($Q144=Parametres!$G$2,$Q144=Parametres!$G$3),K144,E144)</f>
        <v>338393.93</v>
      </c>
      <c r="Q144" s="654" t="str">
        <f t="shared" si="140"/>
        <v>3-Passifs</v>
      </c>
      <c r="R144" s="653" t="str">
        <f t="shared" si="141"/>
        <v>2223</v>
      </c>
      <c r="S144" s="654" t="str">
        <f t="shared" si="142"/>
        <v>_</v>
      </c>
      <c r="T144" s="656" t="str">
        <f>+VLOOKUP($L144,Data_Validation!$A:$D,1,0)</f>
        <v>2224</v>
      </c>
      <c r="U144" s="656" t="str">
        <f>+VLOOKUP($L144,Data_Validation!$A:$D,3,0)</f>
        <v>Bilan</v>
      </c>
      <c r="V144" s="656" t="str">
        <f>+VLOOKUP($L144,Data_Validation!$A:$D,4,0)</f>
        <v>Taxes de Vente à Payer</v>
      </c>
      <c r="W144" s="656" t="str">
        <f>+VLOOKUP($L144,Data_Validation!$A:$E,5,0)</f>
        <v>$</v>
      </c>
      <c r="X144" s="656">
        <f>+VLOOKUP($L144,Data_Validation!$A:$F,6,0)</f>
        <v>0</v>
      </c>
    </row>
    <row r="145" spans="1:24" ht="15" customHeight="1">
      <c r="A145" s="1218" t="s">
        <v>916</v>
      </c>
      <c r="B145" s="1218" t="s">
        <v>1660</v>
      </c>
      <c r="C145" s="1220">
        <v>-1417.5</v>
      </c>
      <c r="D145" s="1220">
        <v>-738</v>
      </c>
      <c r="E145" s="1220">
        <v>-2155.5</v>
      </c>
      <c r="F145" s="1218" t="s">
        <v>902</v>
      </c>
      <c r="G145" s="1218" t="s">
        <v>911</v>
      </c>
      <c r="H145" s="1218" t="s">
        <v>3950</v>
      </c>
      <c r="I145" s="652"/>
      <c r="J145" s="652"/>
      <c r="K145" s="652"/>
      <c r="L145" s="653" t="str">
        <f t="shared" si="138"/>
        <v>2225</v>
      </c>
      <c r="M145" s="654" t="str">
        <f t="shared" si="139"/>
        <v>DROIT SUR PNEUS</v>
      </c>
      <c r="N145" s="655">
        <f>+IF(OR($Q145=Parametres!$G$2,$Q145=Parametres!$G$3),I145,C145)</f>
        <v>-1417.5</v>
      </c>
      <c r="O145" s="655">
        <f>+IF(OR($Q145=Parametres!$G$2,$Q145=Parametres!$G$3),J145,D145)</f>
        <v>-738</v>
      </c>
      <c r="P145" s="655">
        <f>+IF(OR($Q145=Parametres!$G$2,$Q145=Parametres!$G$3),K145,E145)</f>
        <v>-2155.5</v>
      </c>
      <c r="Q145" s="654" t="str">
        <f t="shared" si="140"/>
        <v>3-Passifs</v>
      </c>
      <c r="R145" s="653" t="str">
        <f t="shared" si="141"/>
        <v>2221</v>
      </c>
      <c r="S145" s="654" t="str">
        <f t="shared" si="142"/>
        <v>_</v>
      </c>
      <c r="T145" s="656" t="str">
        <f>+VLOOKUP($L145,Data_Validation!$A:$D,1,0)</f>
        <v>2225</v>
      </c>
      <c r="U145" s="656" t="str">
        <f>+VLOOKUP($L145,Data_Validation!$A:$D,3,0)</f>
        <v>Bilan</v>
      </c>
      <c r="V145" s="656" t="str">
        <f>+VLOOKUP($L145,Data_Validation!$A:$D,4,0)</f>
        <v>Taxes de Vente à Payer</v>
      </c>
      <c r="W145" s="656" t="str">
        <f>+VLOOKUP($L145,Data_Validation!$A:$E,5,0)</f>
        <v>$</v>
      </c>
      <c r="X145" s="656">
        <f>+VLOOKUP($L145,Data_Validation!$A:$F,6,0)</f>
        <v>0</v>
      </c>
    </row>
    <row r="146" spans="1:24" ht="15" customHeight="1">
      <c r="A146" s="1218" t="s">
        <v>917</v>
      </c>
      <c r="B146" s="1218" t="s">
        <v>1663</v>
      </c>
      <c r="C146" s="1220">
        <v>-115545.91</v>
      </c>
      <c r="D146" s="1220">
        <v>-148151.23000000001</v>
      </c>
      <c r="E146" s="1220">
        <v>-263697.14</v>
      </c>
      <c r="F146" s="1218" t="s">
        <v>902</v>
      </c>
      <c r="G146" s="1218" t="s">
        <v>918</v>
      </c>
      <c r="H146" s="1218" t="s">
        <v>3950</v>
      </c>
      <c r="I146" s="652"/>
      <c r="J146" s="652"/>
      <c r="K146" s="652"/>
      <c r="L146" s="653" t="str">
        <f t="shared" si="138"/>
        <v>2281</v>
      </c>
      <c r="M146" s="654" t="str">
        <f t="shared" si="139"/>
        <v>LIEN A PAYER</v>
      </c>
      <c r="N146" s="655">
        <f>+IF(OR($Q146=Parametres!$G$2,$Q146=Parametres!$G$3),I146,C146)</f>
        <v>-115545.91</v>
      </c>
      <c r="O146" s="655">
        <f>+IF(OR($Q146=Parametres!$G$2,$Q146=Parametres!$G$3),J146,D146)</f>
        <v>-148151.23000000001</v>
      </c>
      <c r="P146" s="655">
        <f>+IF(OR($Q146=Parametres!$G$2,$Q146=Parametres!$G$3),K146,E146)</f>
        <v>-263697.14</v>
      </c>
      <c r="Q146" s="654" t="str">
        <f t="shared" si="140"/>
        <v>3-Passifs</v>
      </c>
      <c r="R146" s="653" t="str">
        <f t="shared" si="141"/>
        <v>2283</v>
      </c>
      <c r="S146" s="654" t="str">
        <f t="shared" si="142"/>
        <v>_</v>
      </c>
      <c r="T146" s="656" t="str">
        <f>+VLOOKUP($L146,Data_Validation!$A:$D,1,0)</f>
        <v>2281</v>
      </c>
      <c r="U146" s="656" t="str">
        <f>+VLOOKUP($L146,Data_Validation!$A:$D,3,0)</f>
        <v>Bilan</v>
      </c>
      <c r="V146" s="656" t="str">
        <f>+VLOOKUP($L146,Data_Validation!$A:$D,4,0)</f>
        <v>Autres Comptes à Payer</v>
      </c>
      <c r="W146" s="656" t="str">
        <f>+VLOOKUP($L146,Data_Validation!$A:$E,5,0)</f>
        <v>$</v>
      </c>
      <c r="X146" s="656">
        <f>+VLOOKUP($L146,Data_Validation!$A:$F,6,0)</f>
        <v>0</v>
      </c>
    </row>
    <row r="147" spans="1:24" ht="15" customHeight="1">
      <c r="A147" s="1218" t="s">
        <v>919</v>
      </c>
      <c r="B147" s="1218" t="s">
        <v>918</v>
      </c>
      <c r="C147" s="1220">
        <v>-4173.37</v>
      </c>
      <c r="D147" s="1220">
        <v>-1030</v>
      </c>
      <c r="E147" s="1220">
        <v>-5203.37</v>
      </c>
      <c r="F147" s="1218" t="s">
        <v>902</v>
      </c>
      <c r="G147" s="1218" t="s">
        <v>918</v>
      </c>
      <c r="H147" s="1218" t="s">
        <v>3950</v>
      </c>
      <c r="I147" s="652"/>
      <c r="J147" s="652"/>
      <c r="K147" s="652"/>
      <c r="L147" s="653" t="str">
        <f t="shared" si="138"/>
        <v>2283</v>
      </c>
      <c r="M147" s="654" t="str">
        <f t="shared" si="139"/>
        <v>PLAQUE A PAYER</v>
      </c>
      <c r="N147" s="655">
        <f>+IF(OR($Q147=Parametres!$G$2,$Q147=Parametres!$G$3),I147,C147)</f>
        <v>-4173.37</v>
      </c>
      <c r="O147" s="655">
        <f>+IF(OR($Q147=Parametres!$G$2,$Q147=Parametres!$G$3),J147,D147)</f>
        <v>-1030</v>
      </c>
      <c r="P147" s="655">
        <f>+IF(OR($Q147=Parametres!$G$2,$Q147=Parametres!$G$3),K147,E147)</f>
        <v>-5203.37</v>
      </c>
      <c r="Q147" s="654" t="str">
        <f t="shared" si="140"/>
        <v>3-Passifs</v>
      </c>
      <c r="R147" s="653" t="str">
        <f t="shared" si="141"/>
        <v>2283</v>
      </c>
      <c r="S147" s="654" t="str">
        <f t="shared" si="142"/>
        <v>_</v>
      </c>
      <c r="T147" s="656" t="str">
        <f>+VLOOKUP($L147,Data_Validation!$A:$D,1,0)</f>
        <v>2283</v>
      </c>
      <c r="U147" s="656" t="str">
        <f>+VLOOKUP($L147,Data_Validation!$A:$D,3,0)</f>
        <v>Bilan</v>
      </c>
      <c r="V147" s="656" t="str">
        <f>+VLOOKUP($L147,Data_Validation!$A:$D,4,0)</f>
        <v>Autres Comptes à Payer</v>
      </c>
      <c r="W147" s="656" t="str">
        <f>+VLOOKUP($L147,Data_Validation!$A:$E,5,0)</f>
        <v>$</v>
      </c>
      <c r="X147" s="656">
        <f>+VLOOKUP($L147,Data_Validation!$A:$F,6,0)</f>
        <v>0</v>
      </c>
    </row>
    <row r="148" spans="1:24" ht="15" customHeight="1">
      <c r="A148" s="1218" t="s">
        <v>920</v>
      </c>
      <c r="B148" s="1218" t="s">
        <v>1668</v>
      </c>
      <c r="C148" s="1220">
        <v>-50229.760000000002</v>
      </c>
      <c r="D148" s="1220">
        <v>-49013.71</v>
      </c>
      <c r="E148" s="1220">
        <v>-99243.47</v>
      </c>
      <c r="F148" s="1218" t="s">
        <v>902</v>
      </c>
      <c r="G148" s="1218" t="s">
        <v>918</v>
      </c>
      <c r="H148" s="1218" t="s">
        <v>3950</v>
      </c>
      <c r="I148" s="663"/>
      <c r="J148" s="663"/>
      <c r="K148" s="663"/>
      <c r="L148" s="653" t="str">
        <f t="shared" si="138"/>
        <v>2285</v>
      </c>
      <c r="M148" s="654" t="str">
        <f t="shared" si="139"/>
        <v>PROTECTIONS A PAYER</v>
      </c>
      <c r="N148" s="655">
        <f>+IF(OR($Q148=Parametres!$G$2,$Q148=Parametres!$G$3),I148,C148)</f>
        <v>-50229.760000000002</v>
      </c>
      <c r="O148" s="655">
        <f>+IF(OR($Q148=Parametres!$G$2,$Q148=Parametres!$G$3),J148,D148)</f>
        <v>-49013.71</v>
      </c>
      <c r="P148" s="655">
        <f>+IF(OR($Q148=Parametres!$G$2,$Q148=Parametres!$G$3),K148,E148)</f>
        <v>-99243.47</v>
      </c>
      <c r="Q148" s="654" t="str">
        <f t="shared" si="140"/>
        <v>3-Passifs</v>
      </c>
      <c r="R148" s="653" t="str">
        <f t="shared" si="141"/>
        <v>2283</v>
      </c>
      <c r="S148" s="654" t="str">
        <f t="shared" si="142"/>
        <v>_</v>
      </c>
      <c r="T148" s="656" t="str">
        <f>+VLOOKUP($L148,Data_Validation!$A:$D,1,0)</f>
        <v>2285</v>
      </c>
      <c r="U148" s="656" t="str">
        <f>+VLOOKUP($L148,Data_Validation!$A:$D,3,0)</f>
        <v>Bilan</v>
      </c>
      <c r="V148" s="656" t="str">
        <f>+VLOOKUP($L148,Data_Validation!$A:$D,4,0)</f>
        <v>Autres Comptes à Payer</v>
      </c>
      <c r="W148" s="656" t="str">
        <f>+VLOOKUP($L148,Data_Validation!$A:$E,5,0)</f>
        <v>$</v>
      </c>
      <c r="X148" s="656">
        <f>+VLOOKUP($L148,Data_Validation!$A:$F,6,0)</f>
        <v>0</v>
      </c>
    </row>
    <row r="149" spans="1:24" ht="15" customHeight="1">
      <c r="A149" s="1218" t="s">
        <v>921</v>
      </c>
      <c r="B149" s="1218" t="s">
        <v>1671</v>
      </c>
      <c r="C149" s="1220">
        <v>-6360.82</v>
      </c>
      <c r="D149" s="1220">
        <v>3427.3</v>
      </c>
      <c r="E149" s="1220">
        <v>-2933.52</v>
      </c>
      <c r="F149" s="1218" t="s">
        <v>902</v>
      </c>
      <c r="G149" s="1218" t="s">
        <v>918</v>
      </c>
      <c r="H149" s="1218" t="s">
        <v>3950</v>
      </c>
      <c r="I149" s="663"/>
      <c r="J149" s="663"/>
      <c r="K149" s="663"/>
      <c r="L149" s="653" t="str">
        <f t="shared" si="138"/>
        <v>2287</v>
      </c>
      <c r="M149" s="654" t="str">
        <f t="shared" si="139"/>
        <v>A PAYER INVAPLAN</v>
      </c>
      <c r="N149" s="655">
        <f>+IF(OR($Q149=Parametres!$G$2,$Q149=Parametres!$G$3),I149,C149)</f>
        <v>-6360.82</v>
      </c>
      <c r="O149" s="655">
        <f>+IF(OR($Q149=Parametres!$G$2,$Q149=Parametres!$G$3),J149,D149)</f>
        <v>3427.3</v>
      </c>
      <c r="P149" s="655">
        <f>+IF(OR($Q149=Parametres!$G$2,$Q149=Parametres!$G$3),K149,E149)</f>
        <v>-2933.52</v>
      </c>
      <c r="Q149" s="654" t="str">
        <f t="shared" si="140"/>
        <v>3-Passifs</v>
      </c>
      <c r="R149" s="653" t="str">
        <f t="shared" si="141"/>
        <v>2283</v>
      </c>
      <c r="S149" s="654" t="str">
        <f t="shared" si="142"/>
        <v>_</v>
      </c>
      <c r="T149" s="656" t="str">
        <f>+VLOOKUP($L149,Data_Validation!$A:$D,1,0)</f>
        <v>2287</v>
      </c>
      <c r="U149" s="656" t="str">
        <f>+VLOOKUP($L149,Data_Validation!$A:$D,3,0)</f>
        <v>Bilan</v>
      </c>
      <c r="V149" s="656" t="str">
        <f>+VLOOKUP($L149,Data_Validation!$A:$D,4,0)</f>
        <v>Autres Comptes à Payer</v>
      </c>
      <c r="W149" s="656" t="str">
        <f>+VLOOKUP($L149,Data_Validation!$A:$E,5,0)</f>
        <v>$</v>
      </c>
      <c r="X149" s="656">
        <f>+VLOOKUP($L149,Data_Validation!$A:$F,6,0)</f>
        <v>0</v>
      </c>
    </row>
    <row r="150" spans="1:24" ht="15" customHeight="1">
      <c r="A150" s="1218" t="s">
        <v>922</v>
      </c>
      <c r="B150" s="1218" t="s">
        <v>923</v>
      </c>
      <c r="C150" s="1220">
        <v>-397881.01</v>
      </c>
      <c r="D150" s="1220">
        <v>-6834.45</v>
      </c>
      <c r="E150" s="1220">
        <v>-404715.46</v>
      </c>
      <c r="F150" s="1218" t="s">
        <v>902</v>
      </c>
      <c r="G150" s="1218" t="s">
        <v>923</v>
      </c>
      <c r="H150" s="1218" t="s">
        <v>3950</v>
      </c>
      <c r="I150" s="652"/>
      <c r="J150" s="652"/>
      <c r="K150" s="652"/>
      <c r="L150" s="653" t="str">
        <f t="shared" si="138"/>
        <v>2291</v>
      </c>
      <c r="M150" s="654" t="str">
        <f t="shared" si="139"/>
        <v>COMPTES FOURNISSEURS</v>
      </c>
      <c r="N150" s="655">
        <f>+IF(OR($Q150=Parametres!$G$2,$Q150=Parametres!$G$3),I150,C150)</f>
        <v>-397881.01</v>
      </c>
      <c r="O150" s="655">
        <f>+IF(OR($Q150=Parametres!$G$2,$Q150=Parametres!$G$3),J150,D150)</f>
        <v>-6834.45</v>
      </c>
      <c r="P150" s="655">
        <f>+IF(OR($Q150=Parametres!$G$2,$Q150=Parametres!$G$3),K150,E150)</f>
        <v>-404715.46</v>
      </c>
      <c r="Q150" s="654" t="str">
        <f t="shared" si="140"/>
        <v>3-Passifs</v>
      </c>
      <c r="R150" s="653" t="str">
        <f t="shared" si="141"/>
        <v>2291</v>
      </c>
      <c r="S150" s="654" t="str">
        <f t="shared" si="142"/>
        <v>_</v>
      </c>
      <c r="T150" s="656" t="str">
        <f>+VLOOKUP($L150,Data_Validation!$A:$D,1,0)</f>
        <v>2291</v>
      </c>
      <c r="U150" s="656" t="str">
        <f>+VLOOKUP($L150,Data_Validation!$A:$D,3,0)</f>
        <v>Bilan</v>
      </c>
      <c r="V150" s="656" t="str">
        <f>+VLOOKUP($L150,Data_Validation!$A:$D,4,0)</f>
        <v>Comptes à Payer Fournisseurs</v>
      </c>
      <c r="W150" s="656" t="str">
        <f>+VLOOKUP($L150,Data_Validation!$A:$E,5,0)</f>
        <v>$</v>
      </c>
      <c r="X150" s="656">
        <f>+VLOOKUP($L150,Data_Validation!$A:$F,6,0)</f>
        <v>0</v>
      </c>
    </row>
    <row r="151" spans="1:24" ht="15.75" customHeight="1">
      <c r="A151" s="1218" t="s">
        <v>924</v>
      </c>
      <c r="B151" s="1218" t="s">
        <v>1679</v>
      </c>
      <c r="C151" s="1220">
        <v>-58782.95</v>
      </c>
      <c r="D151" s="1220">
        <v>-91755.55</v>
      </c>
      <c r="E151" s="1220">
        <v>-150538.5</v>
      </c>
      <c r="F151" s="1218" t="s">
        <v>902</v>
      </c>
      <c r="G151" s="1218" t="s">
        <v>923</v>
      </c>
      <c r="H151" s="1218" t="s">
        <v>3950</v>
      </c>
      <c r="I151" s="652"/>
      <c r="J151" s="652"/>
      <c r="K151" s="652"/>
      <c r="L151" s="653" t="str">
        <f t="shared" si="138"/>
        <v>2292</v>
      </c>
      <c r="M151" s="654" t="str">
        <f t="shared" si="139"/>
        <v>ECHANGE ENTRE CONCESSIONNAIRES</v>
      </c>
      <c r="N151" s="655">
        <f>+IF(OR($Q151=Parametres!$G$2,$Q151=Parametres!$G$3),I151,C151)</f>
        <v>-58782.95</v>
      </c>
      <c r="O151" s="655">
        <f>+IF(OR($Q151=Parametres!$G$2,$Q151=Parametres!$G$3),J151,D151)</f>
        <v>-91755.55</v>
      </c>
      <c r="P151" s="655">
        <f>+IF(OR($Q151=Parametres!$G$2,$Q151=Parametres!$G$3),K151,E151)</f>
        <v>-150538.5</v>
      </c>
      <c r="Q151" s="654" t="str">
        <f t="shared" si="140"/>
        <v>3-Passifs</v>
      </c>
      <c r="R151" s="653" t="str">
        <f t="shared" si="141"/>
        <v>2291</v>
      </c>
      <c r="S151" s="654" t="str">
        <f t="shared" si="142"/>
        <v>_</v>
      </c>
      <c r="T151" s="656" t="str">
        <f>+VLOOKUP($L151,Data_Validation!$A:$D,1,0)</f>
        <v>2292</v>
      </c>
      <c r="U151" s="656" t="str">
        <f>+VLOOKUP($L151,Data_Validation!$A:$D,3,0)</f>
        <v>Bilan</v>
      </c>
      <c r="V151" s="656" t="str">
        <f>+VLOOKUP($L151,Data_Validation!$A:$D,4,0)</f>
        <v>Autres Comptes à Payer</v>
      </c>
      <c r="W151" s="656" t="str">
        <f>+VLOOKUP($L151,Data_Validation!$A:$E,5,0)</f>
        <v>$</v>
      </c>
      <c r="X151" s="656">
        <f>+VLOOKUP($L151,Data_Validation!$A:$F,6,0)</f>
        <v>0</v>
      </c>
    </row>
    <row r="152" spans="1:24" ht="15" customHeight="1">
      <c r="A152" s="1218" t="s">
        <v>925</v>
      </c>
      <c r="B152" s="1218" t="s">
        <v>928</v>
      </c>
      <c r="C152" s="1220">
        <v>-36394.870000000003</v>
      </c>
      <c r="D152" s="1220">
        <v>-5314.89</v>
      </c>
      <c r="E152" s="1220">
        <v>-41709.760000000002</v>
      </c>
      <c r="F152" s="1218" t="s">
        <v>902</v>
      </c>
      <c r="G152" s="1218" t="s">
        <v>918</v>
      </c>
      <c r="H152" s="1218" t="s">
        <v>3950</v>
      </c>
      <c r="I152" s="651"/>
      <c r="J152" s="651"/>
      <c r="K152" s="651"/>
      <c r="L152" s="653" t="str">
        <f t="shared" si="132"/>
        <v>2293</v>
      </c>
      <c r="M152" s="654" t="str">
        <f t="shared" si="0"/>
        <v>PROVISIONS GARANTIES USAGEES</v>
      </c>
      <c r="N152" s="655">
        <f>+IF(OR($Q152=Parametres!$G$2,$Q152=Parametres!$G$3),I152,C152)</f>
        <v>-36394.870000000003</v>
      </c>
      <c r="O152" s="655">
        <f>+IF(OR($Q152=Parametres!$G$2,$Q152=Parametres!$G$3),J152,D152)</f>
        <v>-5314.89</v>
      </c>
      <c r="P152" s="655">
        <f>+IF(OR($Q152=Parametres!$G$2,$Q152=Parametres!$G$3),K152,E152)</f>
        <v>-41709.760000000002</v>
      </c>
      <c r="Q152" s="654" t="str">
        <f t="shared" ref="Q152:S152" si="143">+F152</f>
        <v>3-Passifs</v>
      </c>
      <c r="R152" s="653" t="str">
        <f t="shared" si="143"/>
        <v>2283</v>
      </c>
      <c r="S152" s="654" t="str">
        <f t="shared" si="143"/>
        <v>_</v>
      </c>
      <c r="T152" s="656" t="str">
        <f>+VLOOKUP($L152,Data_Validation!$A:$D,1,0)</f>
        <v>2293</v>
      </c>
      <c r="U152" s="656" t="str">
        <f>+VLOOKUP($L152,Data_Validation!$A:$D,3,0)</f>
        <v>Bilan</v>
      </c>
      <c r="V152" s="656" t="str">
        <f>+VLOOKUP($L152,Data_Validation!$A:$D,4,0)</f>
        <v>Autres Courus</v>
      </c>
      <c r="W152" s="656" t="str">
        <f>+VLOOKUP($L152,Data_Validation!$A:$E,5,0)</f>
        <v>$</v>
      </c>
      <c r="X152" s="656">
        <f>+VLOOKUP($L152,Data_Validation!$A:$F,6,0)</f>
        <v>0</v>
      </c>
    </row>
    <row r="153" spans="1:24" ht="15" customHeight="1">
      <c r="A153" s="1218" t="s">
        <v>926</v>
      </c>
      <c r="B153" s="1218" t="s">
        <v>3376</v>
      </c>
      <c r="C153" s="1220">
        <v>1343.25</v>
      </c>
      <c r="D153" s="1220">
        <v>0</v>
      </c>
      <c r="E153" s="1220">
        <v>1343.25</v>
      </c>
      <c r="F153" s="1218" t="s">
        <v>902</v>
      </c>
      <c r="G153" s="1218" t="s">
        <v>918</v>
      </c>
      <c r="H153" s="1218" t="s">
        <v>3950</v>
      </c>
      <c r="I153" s="652"/>
      <c r="J153" s="652"/>
      <c r="K153" s="652"/>
      <c r="L153" s="653" t="str">
        <f t="shared" si="132"/>
        <v>2294</v>
      </c>
      <c r="M153" s="654" t="str">
        <f t="shared" si="0"/>
        <v>Volks RESERVE PROMO SAISONNIERE</v>
      </c>
      <c r="N153" s="655">
        <f>+IF(OR($Q153=Parametres!$G$2,$Q153=Parametres!$G$3),I153,C153)</f>
        <v>1343.25</v>
      </c>
      <c r="O153" s="655">
        <f>+IF(OR($Q153=Parametres!$G$2,$Q153=Parametres!$G$3),J153,D153)</f>
        <v>0</v>
      </c>
      <c r="P153" s="655">
        <f>+IF(OR($Q153=Parametres!$G$2,$Q153=Parametres!$G$3),K153,E153)</f>
        <v>1343.25</v>
      </c>
      <c r="Q153" s="654" t="str">
        <f t="shared" ref="Q153:S153" si="144">+F153</f>
        <v>3-Passifs</v>
      </c>
      <c r="R153" s="653" t="str">
        <f t="shared" si="144"/>
        <v>2283</v>
      </c>
      <c r="S153" s="654" t="str">
        <f t="shared" si="144"/>
        <v>_</v>
      </c>
      <c r="T153" s="656" t="str">
        <f>+VLOOKUP($L153,Data_Validation!$A:$D,1,0)</f>
        <v>2294</v>
      </c>
      <c r="U153" s="656" t="str">
        <f>+VLOOKUP($L153,Data_Validation!$A:$D,3,0)</f>
        <v>Bilan</v>
      </c>
      <c r="V153" s="656" t="str">
        <f>+VLOOKUP($L153,Data_Validation!$A:$D,4,0)</f>
        <v>Autres Courus</v>
      </c>
      <c r="W153" s="656" t="str">
        <f>+VLOOKUP($L153,Data_Validation!$A:$E,5,0)</f>
        <v>$</v>
      </c>
      <c r="X153" s="656">
        <f>+VLOOKUP($L153,Data_Validation!$A:$F,6,0)</f>
        <v>0</v>
      </c>
    </row>
    <row r="154" spans="1:24" ht="15" customHeight="1">
      <c r="A154" s="1218" t="s">
        <v>929</v>
      </c>
      <c r="B154" s="1218" t="s">
        <v>3377</v>
      </c>
      <c r="C154" s="1220">
        <v>-97155.56</v>
      </c>
      <c r="D154" s="1220">
        <v>-1452.48</v>
      </c>
      <c r="E154" s="1220">
        <v>-98608.04</v>
      </c>
      <c r="F154" s="1218" t="s">
        <v>902</v>
      </c>
      <c r="G154" s="1218" t="s">
        <v>923</v>
      </c>
      <c r="H154" s="1218" t="s">
        <v>3950</v>
      </c>
      <c r="I154" s="651"/>
      <c r="J154" s="651"/>
      <c r="K154" s="651"/>
      <c r="L154" s="653" t="str">
        <f t="shared" si="132"/>
        <v>2296</v>
      </c>
      <c r="M154" s="654" t="str">
        <f t="shared" si="0"/>
        <v>COMPTE FOURNISSEURS INTERCO</v>
      </c>
      <c r="N154" s="655">
        <f>+IF(OR($Q154=Parametres!$G$2,$Q154=Parametres!$G$3),I154,C154)</f>
        <v>-97155.56</v>
      </c>
      <c r="O154" s="655">
        <f>+IF(OR($Q154=Parametres!$G$2,$Q154=Parametres!$G$3),J154,D154)</f>
        <v>-1452.48</v>
      </c>
      <c r="P154" s="655">
        <f>+IF(OR($Q154=Parametres!$G$2,$Q154=Parametres!$G$3),K154,E154)</f>
        <v>-98608.04</v>
      </c>
      <c r="Q154" s="654" t="str">
        <f t="shared" ref="Q154:S154" si="145">+F154</f>
        <v>3-Passifs</v>
      </c>
      <c r="R154" s="653" t="str">
        <f t="shared" si="145"/>
        <v>2291</v>
      </c>
      <c r="S154" s="654" t="str">
        <f t="shared" si="145"/>
        <v>_</v>
      </c>
      <c r="T154" s="656" t="str">
        <f>+VLOOKUP($L154,Data_Validation!$A:$D,1,0)</f>
        <v>2296</v>
      </c>
      <c r="U154" s="656" t="str">
        <f>+VLOOKUP($L154,Data_Validation!$A:$D,3,0)</f>
        <v>Bilan</v>
      </c>
      <c r="V154" s="656" t="str">
        <f>+VLOOKUP($L154,Data_Validation!$A:$D,4,0)</f>
        <v>Payables Intercos</v>
      </c>
      <c r="W154" s="656" t="str">
        <f>+VLOOKUP($L154,Data_Validation!$A:$E,5,0)</f>
        <v>$</v>
      </c>
      <c r="X154" s="656">
        <f>+VLOOKUP($L154,Data_Validation!$A:$F,6,0)</f>
        <v>0</v>
      </c>
    </row>
    <row r="155" spans="1:24" ht="15.75" customHeight="1">
      <c r="A155" s="1218" t="s">
        <v>930</v>
      </c>
      <c r="B155" s="1218" t="s">
        <v>1687</v>
      </c>
      <c r="C155" s="1220">
        <v>-13300</v>
      </c>
      <c r="D155" s="1220">
        <v>-5100</v>
      </c>
      <c r="E155" s="1220">
        <v>-18400</v>
      </c>
      <c r="F155" s="1218" t="s">
        <v>902</v>
      </c>
      <c r="G155" s="1218" t="s">
        <v>918</v>
      </c>
      <c r="H155" s="1218" t="s">
        <v>3950</v>
      </c>
      <c r="I155" s="652"/>
      <c r="J155" s="652"/>
      <c r="K155" s="652"/>
      <c r="L155" s="653" t="str">
        <f t="shared" si="132"/>
        <v>2297</v>
      </c>
      <c r="M155" s="654" t="str">
        <f t="shared" si="0"/>
        <v>RESERVE RENOUVELLEMENT</v>
      </c>
      <c r="N155" s="655">
        <f>+IF(OR($Q155=Parametres!$G$2,$Q155=Parametres!$G$3),I155,C155)</f>
        <v>-13300</v>
      </c>
      <c r="O155" s="655">
        <f>+IF(OR($Q155=Parametres!$G$2,$Q155=Parametres!$G$3),J155,D155)</f>
        <v>-5100</v>
      </c>
      <c r="P155" s="655">
        <f>+IF(OR($Q155=Parametres!$G$2,$Q155=Parametres!$G$3),K155,E155)</f>
        <v>-18400</v>
      </c>
      <c r="Q155" s="654" t="str">
        <f t="shared" ref="Q155:S155" si="146">+F155</f>
        <v>3-Passifs</v>
      </c>
      <c r="R155" s="653" t="str">
        <f t="shared" si="146"/>
        <v>2283</v>
      </c>
      <c r="S155" s="654" t="str">
        <f t="shared" si="146"/>
        <v>_</v>
      </c>
      <c r="T155" s="656" t="str">
        <f>+VLOOKUP($L155,Data_Validation!$A:$D,1,0)</f>
        <v>2297</v>
      </c>
      <c r="U155" s="656" t="str">
        <f>+VLOOKUP($L155,Data_Validation!$A:$D,3,0)</f>
        <v>Bilan</v>
      </c>
      <c r="V155" s="656" t="str">
        <f>+VLOOKUP($L155,Data_Validation!$A:$D,4,0)</f>
        <v>Autres Courus</v>
      </c>
      <c r="W155" s="656" t="str">
        <f>+VLOOKUP($L155,Data_Validation!$A:$E,5,0)</f>
        <v>$</v>
      </c>
      <c r="X155" s="656">
        <f>+VLOOKUP($L155,Data_Validation!$A:$F,6,0)</f>
        <v>0</v>
      </c>
    </row>
    <row r="156" spans="1:24" ht="15" customHeight="1">
      <c r="A156" s="1218" t="s">
        <v>3336</v>
      </c>
      <c r="B156" s="1218" t="s">
        <v>3337</v>
      </c>
      <c r="C156" s="1220">
        <v>27.79</v>
      </c>
      <c r="D156" s="1220">
        <v>0</v>
      </c>
      <c r="E156" s="1220">
        <v>27.79</v>
      </c>
      <c r="F156" s="1218" t="s">
        <v>902</v>
      </c>
      <c r="G156" s="1218" t="s">
        <v>3337</v>
      </c>
      <c r="H156" s="1218" t="s">
        <v>3950</v>
      </c>
      <c r="I156" s="651"/>
      <c r="J156" s="651"/>
      <c r="K156" s="651"/>
      <c r="L156" s="653" t="str">
        <f t="shared" si="132"/>
        <v>2305</v>
      </c>
      <c r="M156" s="654" t="str">
        <f t="shared" si="0"/>
        <v>FUTA ASSURANCE EMPLOYE</v>
      </c>
      <c r="N156" s="655">
        <f>+IF(OR($Q156=Parametres!$G$2,$Q156=Parametres!$G$3),I156,C156)</f>
        <v>27.79</v>
      </c>
      <c r="O156" s="655">
        <f>+IF(OR($Q156=Parametres!$G$2,$Q156=Parametres!$G$3),J156,D156)</f>
        <v>0</v>
      </c>
      <c r="P156" s="655">
        <f>+IF(OR($Q156=Parametres!$G$2,$Q156=Parametres!$G$3),K156,E156)</f>
        <v>27.79</v>
      </c>
      <c r="Q156" s="654" t="str">
        <f t="shared" ref="Q156:S156" si="147">+F156</f>
        <v>3-Passifs</v>
      </c>
      <c r="R156" s="653" t="str">
        <f t="shared" si="147"/>
        <v>2305</v>
      </c>
      <c r="S156" s="654" t="str">
        <f t="shared" si="147"/>
        <v>_</v>
      </c>
      <c r="T156" s="656" t="str">
        <f>+VLOOKUP($L156,Data_Validation!$A:$D,1,0)</f>
        <v>2305</v>
      </c>
      <c r="U156" s="656" t="str">
        <f>+VLOOKUP($L156,Data_Validation!$A:$D,3,0)</f>
        <v>Bilan</v>
      </c>
      <c r="V156" s="656" t="str">
        <f>+VLOOKUP($L156,Data_Validation!$A:$D,4,0)</f>
        <v>DAS à Payer</v>
      </c>
      <c r="W156" s="656" t="str">
        <f>+VLOOKUP($L156,Data_Validation!$A:$E,5,0)</f>
        <v>$</v>
      </c>
      <c r="X156" s="656">
        <f>+VLOOKUP($L156,Data_Validation!$A:$F,6,0)</f>
        <v>0</v>
      </c>
    </row>
    <row r="157" spans="1:24" ht="15" customHeight="1">
      <c r="A157" s="1218" t="s">
        <v>931</v>
      </c>
      <c r="B157" s="1218" t="s">
        <v>932</v>
      </c>
      <c r="C157" s="1220">
        <v>35741.96</v>
      </c>
      <c r="D157" s="1220">
        <v>2298.77</v>
      </c>
      <c r="E157" s="1220">
        <v>38040.730000000003</v>
      </c>
      <c r="F157" s="1218" t="s">
        <v>902</v>
      </c>
      <c r="G157" s="1218" t="s">
        <v>932</v>
      </c>
      <c r="H157" s="1218" t="s">
        <v>3950</v>
      </c>
      <c r="I157" s="652"/>
      <c r="J157" s="652"/>
      <c r="K157" s="652"/>
      <c r="L157" s="653" t="str">
        <f t="shared" si="132"/>
        <v>2315</v>
      </c>
      <c r="M157" s="654" t="str">
        <f t="shared" si="0"/>
        <v>PRIME ASSURANCE GROUPE</v>
      </c>
      <c r="N157" s="655">
        <f>+IF(OR($Q157=Parametres!$G$2,$Q157=Parametres!$G$3),I157,C157)</f>
        <v>35741.96</v>
      </c>
      <c r="O157" s="655">
        <f>+IF(OR($Q157=Parametres!$G$2,$Q157=Parametres!$G$3),J157,D157)</f>
        <v>2298.77</v>
      </c>
      <c r="P157" s="655">
        <f>+IF(OR($Q157=Parametres!$G$2,$Q157=Parametres!$G$3),K157,E157)</f>
        <v>38040.730000000003</v>
      </c>
      <c r="Q157" s="654" t="str">
        <f t="shared" ref="Q157:S157" si="148">+F157</f>
        <v>3-Passifs</v>
      </c>
      <c r="R157" s="653" t="str">
        <f t="shared" si="148"/>
        <v>2315</v>
      </c>
      <c r="S157" s="654" t="str">
        <f t="shared" si="148"/>
        <v>_</v>
      </c>
      <c r="T157" s="656" t="str">
        <f>+VLOOKUP($L157,Data_Validation!$A:$D,1,0)</f>
        <v>2315</v>
      </c>
      <c r="U157" s="656" t="str">
        <f>+VLOOKUP($L157,Data_Validation!$A:$D,3,0)</f>
        <v>Bilan</v>
      </c>
      <c r="V157" s="656" t="str">
        <f>+VLOOKUP($L157,Data_Validation!$A:$D,4,0)</f>
        <v>DAS à Payer</v>
      </c>
      <c r="W157" s="656" t="str">
        <f>+VLOOKUP($L157,Data_Validation!$A:$E,5,0)</f>
        <v>$</v>
      </c>
      <c r="X157" s="656">
        <f>+VLOOKUP($L157,Data_Validation!$A:$F,6,0)</f>
        <v>0</v>
      </c>
    </row>
    <row r="158" spans="1:24" ht="15" customHeight="1">
      <c r="A158" s="1218" t="s">
        <v>933</v>
      </c>
      <c r="B158" s="1218" t="s">
        <v>1695</v>
      </c>
      <c r="C158" s="1220">
        <v>52.35</v>
      </c>
      <c r="D158" s="1220">
        <v>0</v>
      </c>
      <c r="E158" s="1220">
        <v>52.35</v>
      </c>
      <c r="F158" s="1218" t="s">
        <v>902</v>
      </c>
      <c r="G158" s="1218" t="s">
        <v>932</v>
      </c>
      <c r="H158" s="1218" t="s">
        <v>3950</v>
      </c>
      <c r="I158" s="663"/>
      <c r="J158" s="663"/>
      <c r="K158" s="663"/>
      <c r="L158" s="653" t="str">
        <f t="shared" si="132"/>
        <v>2335</v>
      </c>
      <c r="M158" s="654" t="str">
        <f t="shared" si="0"/>
        <v>COMITE SOCIAL</v>
      </c>
      <c r="N158" s="655">
        <f>+IF(OR($Q158=Parametres!$G$2,$Q158=Parametres!$G$3),I158,C158)</f>
        <v>52.35</v>
      </c>
      <c r="O158" s="655">
        <f>+IF(OR($Q158=Parametres!$G$2,$Q158=Parametres!$G$3),J158,D158)</f>
        <v>0</v>
      </c>
      <c r="P158" s="655">
        <f>+IF(OR($Q158=Parametres!$G$2,$Q158=Parametres!$G$3),K158,E158)</f>
        <v>52.35</v>
      </c>
      <c r="Q158" s="654" t="str">
        <f t="shared" ref="Q158:S158" si="149">+F158</f>
        <v>3-Passifs</v>
      </c>
      <c r="R158" s="653" t="str">
        <f t="shared" si="149"/>
        <v>2315</v>
      </c>
      <c r="S158" s="654" t="str">
        <f t="shared" si="149"/>
        <v>_</v>
      </c>
      <c r="T158" s="656" t="str">
        <f>+VLOOKUP($L158,Data_Validation!$A:$D,1,0)</f>
        <v>2335</v>
      </c>
      <c r="U158" s="656" t="str">
        <f>+VLOOKUP($L158,Data_Validation!$A:$D,3,0)</f>
        <v>Bilan</v>
      </c>
      <c r="V158" s="656" t="str">
        <f>+VLOOKUP($L158,Data_Validation!$A:$D,4,0)</f>
        <v>DAS à Payer</v>
      </c>
      <c r="W158" s="656" t="str">
        <f>+VLOOKUP($L158,Data_Validation!$A:$E,5,0)</f>
        <v>$</v>
      </c>
      <c r="X158" s="656">
        <f>+VLOOKUP($L158,Data_Validation!$A:$F,6,0)</f>
        <v>0</v>
      </c>
    </row>
    <row r="159" spans="1:24" ht="15.75" customHeight="1">
      <c r="A159" s="1218" t="s">
        <v>934</v>
      </c>
      <c r="B159" s="1218" t="s">
        <v>1701</v>
      </c>
      <c r="C159" s="1220">
        <v>-27956.080000000002</v>
      </c>
      <c r="D159" s="1220">
        <v>763.98</v>
      </c>
      <c r="E159" s="1220">
        <v>-27192.1</v>
      </c>
      <c r="F159" s="1218" t="s">
        <v>902</v>
      </c>
      <c r="G159" s="1218" t="s">
        <v>932</v>
      </c>
      <c r="H159" s="1218" t="s">
        <v>3950</v>
      </c>
      <c r="I159" s="664"/>
      <c r="J159" s="664"/>
      <c r="K159" s="664"/>
      <c r="L159" s="653" t="str">
        <f t="shared" si="132"/>
        <v>2342</v>
      </c>
      <c r="M159" s="654" t="str">
        <f t="shared" si="0"/>
        <v>REER STANDARD LIFE</v>
      </c>
      <c r="N159" s="655">
        <f>+IF(OR($Q159=Parametres!$G$2,$Q159=Parametres!$G$3),I159,C159)</f>
        <v>-27956.080000000002</v>
      </c>
      <c r="O159" s="655">
        <f>+IF(OR($Q159=Parametres!$G$2,$Q159=Parametres!$G$3),J159,D159)</f>
        <v>763.98</v>
      </c>
      <c r="P159" s="655">
        <f>+IF(OR($Q159=Parametres!$G$2,$Q159=Parametres!$G$3),K159,E159)</f>
        <v>-27192.1</v>
      </c>
      <c r="Q159" s="654" t="str">
        <f t="shared" ref="Q159:S159" si="150">+F159</f>
        <v>3-Passifs</v>
      </c>
      <c r="R159" s="653" t="str">
        <f t="shared" si="150"/>
        <v>2315</v>
      </c>
      <c r="S159" s="654" t="str">
        <f t="shared" si="150"/>
        <v>_</v>
      </c>
      <c r="T159" s="656" t="str">
        <f>+VLOOKUP($L159,Data_Validation!$A:$D,1,0)</f>
        <v>2342</v>
      </c>
      <c r="U159" s="656" t="str">
        <f>+VLOOKUP($L159,Data_Validation!$A:$D,3,0)</f>
        <v>Bilan</v>
      </c>
      <c r="V159" s="656" t="str">
        <f>+VLOOKUP($L159,Data_Validation!$A:$D,4,0)</f>
        <v>DAS à Payer</v>
      </c>
      <c r="W159" s="656" t="str">
        <f>+VLOOKUP($L159,Data_Validation!$A:$E,5,0)</f>
        <v>$</v>
      </c>
      <c r="X159" s="656">
        <f>+VLOOKUP($L159,Data_Validation!$A:$F,6,0)</f>
        <v>0</v>
      </c>
    </row>
    <row r="160" spans="1:24" ht="15" customHeight="1">
      <c r="A160" s="1218" t="s">
        <v>935</v>
      </c>
      <c r="B160" s="1218" t="s">
        <v>1704</v>
      </c>
      <c r="C160" s="1220">
        <v>-654.34</v>
      </c>
      <c r="D160" s="1220">
        <v>783.24</v>
      </c>
      <c r="E160" s="1220">
        <v>128.9</v>
      </c>
      <c r="F160" s="1218" t="s">
        <v>902</v>
      </c>
      <c r="G160" s="1218" t="s">
        <v>932</v>
      </c>
      <c r="H160" s="1218" t="s">
        <v>3950</v>
      </c>
      <c r="I160" s="663"/>
      <c r="J160" s="663"/>
      <c r="K160" s="663"/>
      <c r="L160" s="653" t="str">
        <f t="shared" si="132"/>
        <v>2343</v>
      </c>
      <c r="M160" s="654" t="str">
        <f t="shared" si="0"/>
        <v>COMITE PARITAIRE</v>
      </c>
      <c r="N160" s="655">
        <f>+IF(OR($Q160=Parametres!$G$2,$Q160=Parametres!$G$3),I160,C160)</f>
        <v>-654.34</v>
      </c>
      <c r="O160" s="655">
        <f>+IF(OR($Q160=Parametres!$G$2,$Q160=Parametres!$G$3),J160,D160)</f>
        <v>783.24</v>
      </c>
      <c r="P160" s="655">
        <f>+IF(OR($Q160=Parametres!$G$2,$Q160=Parametres!$G$3),K160,E160)</f>
        <v>128.9</v>
      </c>
      <c r="Q160" s="654" t="str">
        <f t="shared" ref="Q160:S160" si="151">+F160</f>
        <v>3-Passifs</v>
      </c>
      <c r="R160" s="653" t="str">
        <f t="shared" si="151"/>
        <v>2315</v>
      </c>
      <c r="S160" s="654" t="str">
        <f t="shared" si="151"/>
        <v>_</v>
      </c>
      <c r="T160" s="656" t="str">
        <f>+VLOOKUP($L160,Data_Validation!$A:$D,1,0)</f>
        <v>2343</v>
      </c>
      <c r="U160" s="656" t="str">
        <f>+VLOOKUP($L160,Data_Validation!$A:$D,3,0)</f>
        <v>Bilan</v>
      </c>
      <c r="V160" s="656" t="str">
        <f>+VLOOKUP($L160,Data_Validation!$A:$D,4,0)</f>
        <v>DAS à Payer</v>
      </c>
      <c r="W160" s="656" t="str">
        <f>+VLOOKUP($L160,Data_Validation!$A:$E,5,0)</f>
        <v>$</v>
      </c>
      <c r="X160" s="656">
        <f>+VLOOKUP($L160,Data_Validation!$A:$F,6,0)</f>
        <v>0</v>
      </c>
    </row>
    <row r="161" spans="1:24" ht="15" customHeight="1">
      <c r="A161" s="1218" t="s">
        <v>936</v>
      </c>
      <c r="B161" s="1218" t="s">
        <v>1707</v>
      </c>
      <c r="C161" s="1220">
        <v>-1220.8900000000001</v>
      </c>
      <c r="D161" s="1220">
        <v>959.3</v>
      </c>
      <c r="E161" s="1220">
        <v>-261.58999999999997</v>
      </c>
      <c r="F161" s="1218" t="s">
        <v>902</v>
      </c>
      <c r="G161" s="1218" t="s">
        <v>932</v>
      </c>
      <c r="H161" s="1218" t="s">
        <v>3950</v>
      </c>
      <c r="I161" s="664"/>
      <c r="J161" s="664"/>
      <c r="K161" s="664"/>
      <c r="L161" s="653" t="str">
        <f t="shared" si="132"/>
        <v>2344</v>
      </c>
      <c r="M161" s="654" t="str">
        <f t="shared" si="0"/>
        <v>CENTRAIDE</v>
      </c>
      <c r="N161" s="655">
        <f>+IF(OR($Q161=Parametres!$G$2,$Q161=Parametres!$G$3),I161,C161)</f>
        <v>-1220.8900000000001</v>
      </c>
      <c r="O161" s="655">
        <f>+IF(OR($Q161=Parametres!$G$2,$Q161=Parametres!$G$3),J161,D161)</f>
        <v>959.3</v>
      </c>
      <c r="P161" s="655">
        <f>+IF(OR($Q161=Parametres!$G$2,$Q161=Parametres!$G$3),K161,E161)</f>
        <v>-261.58999999999997</v>
      </c>
      <c r="Q161" s="654" t="str">
        <f t="shared" ref="Q161:S161" si="152">+F161</f>
        <v>3-Passifs</v>
      </c>
      <c r="R161" s="653" t="str">
        <f t="shared" si="152"/>
        <v>2315</v>
      </c>
      <c r="S161" s="654" t="str">
        <f t="shared" si="152"/>
        <v>_</v>
      </c>
      <c r="T161" s="656" t="str">
        <f>+VLOOKUP($L161,Data_Validation!$A:$D,1,0)</f>
        <v>2344</v>
      </c>
      <c r="U161" s="656" t="str">
        <f>+VLOOKUP($L161,Data_Validation!$A:$D,3,0)</f>
        <v>Bilan</v>
      </c>
      <c r="V161" s="656" t="str">
        <f>+VLOOKUP($L161,Data_Validation!$A:$D,4,0)</f>
        <v>DAS à Payer</v>
      </c>
      <c r="W161" s="656" t="str">
        <f>+VLOOKUP($L161,Data_Validation!$A:$E,5,0)</f>
        <v>$</v>
      </c>
      <c r="X161" s="656">
        <f>+VLOOKUP($L161,Data_Validation!$A:$F,6,0)</f>
        <v>0</v>
      </c>
    </row>
    <row r="162" spans="1:24" ht="15" customHeight="1">
      <c r="A162" s="1218" t="s">
        <v>937</v>
      </c>
      <c r="B162" s="1218" t="s">
        <v>938</v>
      </c>
      <c r="C162" s="1220">
        <v>-39650</v>
      </c>
      <c r="D162" s="1220">
        <v>10800</v>
      </c>
      <c r="E162" s="1220">
        <v>-28850</v>
      </c>
      <c r="F162" s="1218" t="s">
        <v>902</v>
      </c>
      <c r="G162" s="1218" t="s">
        <v>938</v>
      </c>
      <c r="H162" s="1218" t="s">
        <v>3950</v>
      </c>
      <c r="I162" s="652"/>
      <c r="J162" s="652"/>
      <c r="K162" s="652"/>
      <c r="L162" s="653" t="str">
        <f t="shared" si="132"/>
        <v>2401</v>
      </c>
      <c r="M162" s="654" t="str">
        <f t="shared" si="0"/>
        <v>DEPOTS FIDUCIE-VENTE CLIENTS</v>
      </c>
      <c r="N162" s="655">
        <f>+IF(OR($Q162=Parametres!$G$2,$Q162=Parametres!$G$3),I162,C162)</f>
        <v>-39650</v>
      </c>
      <c r="O162" s="655">
        <f>+IF(OR($Q162=Parametres!$G$2,$Q162=Parametres!$G$3),J162,D162)</f>
        <v>10800</v>
      </c>
      <c r="P162" s="655">
        <f>+IF(OR($Q162=Parametres!$G$2,$Q162=Parametres!$G$3),K162,E162)</f>
        <v>-28850</v>
      </c>
      <c r="Q162" s="654" t="str">
        <f t="shared" ref="Q162:S162" si="153">+F162</f>
        <v>3-Passifs</v>
      </c>
      <c r="R162" s="653" t="str">
        <f t="shared" si="153"/>
        <v>2401</v>
      </c>
      <c r="S162" s="654" t="str">
        <f t="shared" si="153"/>
        <v>_</v>
      </c>
      <c r="T162" s="656" t="str">
        <f>+VLOOKUP($L162,Data_Validation!$A:$D,1,0)</f>
        <v>2401</v>
      </c>
      <c r="U162" s="656" t="str">
        <f>+VLOOKUP($L162,Data_Validation!$A:$D,3,0)</f>
        <v>Bilan</v>
      </c>
      <c r="V162" s="656" t="str">
        <f>+VLOOKUP($L162,Data_Validation!$A:$D,4,0)</f>
        <v>Dépôts de Client</v>
      </c>
      <c r="W162" s="656" t="str">
        <f>+VLOOKUP($L162,Data_Validation!$A:$E,5,0)</f>
        <v>$</v>
      </c>
      <c r="X162" s="656">
        <f>+VLOOKUP($L162,Data_Validation!$A:$F,6,0)</f>
        <v>0</v>
      </c>
    </row>
    <row r="163" spans="1:24" ht="15.75" customHeight="1">
      <c r="A163" s="1218" t="s">
        <v>939</v>
      </c>
      <c r="B163" s="1218" t="s">
        <v>940</v>
      </c>
      <c r="C163" s="1220">
        <v>-14996.99</v>
      </c>
      <c r="D163" s="1220">
        <v>-26238.05</v>
      </c>
      <c r="E163" s="1220">
        <v>-41235.040000000001</v>
      </c>
      <c r="F163" s="1218" t="s">
        <v>902</v>
      </c>
      <c r="G163" s="1218" t="s">
        <v>940</v>
      </c>
      <c r="H163" s="1218" t="s">
        <v>3950</v>
      </c>
      <c r="I163" s="660"/>
      <c r="J163" s="651"/>
      <c r="K163" s="660"/>
      <c r="L163" s="653" t="str">
        <f t="shared" si="132"/>
        <v>2501</v>
      </c>
      <c r="M163" s="654" t="str">
        <f t="shared" si="0"/>
        <v>COMMISSION A PAYER</v>
      </c>
      <c r="N163" s="655">
        <f>+IF(OR($Q163=Parametres!$G$2,$Q163=Parametres!$G$3),I163,C163)</f>
        <v>-14996.99</v>
      </c>
      <c r="O163" s="655">
        <f>+IF(OR($Q163=Parametres!$G$2,$Q163=Parametres!$G$3),J163,D163)</f>
        <v>-26238.05</v>
      </c>
      <c r="P163" s="655">
        <f>+IF(OR($Q163=Parametres!$G$2,$Q163=Parametres!$G$3),K163,E163)</f>
        <v>-41235.040000000001</v>
      </c>
      <c r="Q163" s="654" t="str">
        <f t="shared" ref="Q163:S163" si="154">+F163</f>
        <v>3-Passifs</v>
      </c>
      <c r="R163" s="653" t="str">
        <f t="shared" si="154"/>
        <v>2501</v>
      </c>
      <c r="S163" s="654" t="str">
        <f t="shared" si="154"/>
        <v>_</v>
      </c>
      <c r="T163" s="656" t="str">
        <f>+VLOOKUP($L163,Data_Validation!$A:$D,1,0)</f>
        <v>2501</v>
      </c>
      <c r="U163" s="656" t="str">
        <f>+VLOOKUP($L163,Data_Validation!$A:$D,3,0)</f>
        <v>Bilan</v>
      </c>
      <c r="V163" s="656" t="str">
        <f>+VLOOKUP($L163,Data_Validation!$A:$D,4,0)</f>
        <v>Salaires à Payer</v>
      </c>
      <c r="W163" s="656" t="str">
        <f>+VLOOKUP($L163,Data_Validation!$A:$E,5,0)</f>
        <v>$</v>
      </c>
      <c r="X163" s="656">
        <f>+VLOOKUP($L163,Data_Validation!$A:$F,6,0)</f>
        <v>0</v>
      </c>
    </row>
    <row r="164" spans="1:24" ht="15" customHeight="1">
      <c r="A164" s="1218" t="s">
        <v>941</v>
      </c>
      <c r="B164" s="1218" t="s">
        <v>3378</v>
      </c>
      <c r="C164" s="1220">
        <v>2848.79</v>
      </c>
      <c r="D164" s="1220">
        <v>-218.71</v>
      </c>
      <c r="E164" s="1220">
        <v>2630.08</v>
      </c>
      <c r="F164" s="1218" t="s">
        <v>902</v>
      </c>
      <c r="G164" s="1218" t="s">
        <v>942</v>
      </c>
      <c r="H164" s="1218" t="s">
        <v>3950</v>
      </c>
      <c r="I164" s="651"/>
      <c r="J164" s="651"/>
      <c r="K164" s="651"/>
      <c r="L164" s="653" t="str">
        <f t="shared" si="132"/>
        <v>2502</v>
      </c>
      <c r="M164" s="654" t="str">
        <f t="shared" si="0"/>
        <v>Compte de depense a payer</v>
      </c>
      <c r="N164" s="655">
        <f>+IF(OR($Q164=Parametres!$G$2,$Q164=Parametres!$G$3),I164,C164)</f>
        <v>2848.79</v>
      </c>
      <c r="O164" s="655">
        <f>+IF(OR($Q164=Parametres!$G$2,$Q164=Parametres!$G$3),J164,D164)</f>
        <v>-218.71</v>
      </c>
      <c r="P164" s="655">
        <f>+IF(OR($Q164=Parametres!$G$2,$Q164=Parametres!$G$3),K164,E164)</f>
        <v>2630.08</v>
      </c>
      <c r="Q164" s="654" t="str">
        <f t="shared" ref="Q164:S164" si="155">+F164</f>
        <v>3-Passifs</v>
      </c>
      <c r="R164" s="653" t="str">
        <f t="shared" si="155"/>
        <v>250</v>
      </c>
      <c r="S164" s="654" t="str">
        <f t="shared" si="155"/>
        <v>_</v>
      </c>
      <c r="T164" s="656" t="str">
        <f>+VLOOKUP($L164,Data_Validation!$A:$D,1,0)</f>
        <v>2502</v>
      </c>
      <c r="U164" s="656" t="str">
        <f>+VLOOKUP($L164,Data_Validation!$A:$D,3,0)</f>
        <v>Bilan</v>
      </c>
      <c r="V164" s="656" t="str">
        <f>+VLOOKUP($L164,Data_Validation!$A:$D,4,0)</f>
        <v>Salaires à Payer</v>
      </c>
      <c r="W164" s="656" t="str">
        <f>+VLOOKUP($L164,Data_Validation!$A:$E,5,0)</f>
        <v>$</v>
      </c>
      <c r="X164" s="656">
        <f>+VLOOKUP($L164,Data_Validation!$A:$F,6,0)</f>
        <v>0</v>
      </c>
    </row>
    <row r="165" spans="1:24" ht="15" customHeight="1">
      <c r="A165" s="1218" t="s">
        <v>943</v>
      </c>
      <c r="B165" s="1218" t="s">
        <v>944</v>
      </c>
      <c r="C165" s="1220">
        <v>-144119.29999999999</v>
      </c>
      <c r="D165" s="1220">
        <v>-18500.54</v>
      </c>
      <c r="E165" s="1220">
        <v>-162619.84</v>
      </c>
      <c r="F165" s="1218" t="s">
        <v>902</v>
      </c>
      <c r="G165" s="1218" t="s">
        <v>944</v>
      </c>
      <c r="H165" s="1218" t="s">
        <v>3950</v>
      </c>
      <c r="I165" s="660"/>
      <c r="J165" s="660"/>
      <c r="K165" s="660"/>
      <c r="L165" s="653" t="str">
        <f t="shared" si="132"/>
        <v>2503</v>
      </c>
      <c r="M165" s="654" t="str">
        <f t="shared" si="0"/>
        <v>SALAIRES DES EMPLOYES</v>
      </c>
      <c r="N165" s="655">
        <f>+IF(OR($Q165=Parametres!$G$2,$Q165=Parametres!$G$3),I165,C165)</f>
        <v>-144119.29999999999</v>
      </c>
      <c r="O165" s="655">
        <f>+IF(OR($Q165=Parametres!$G$2,$Q165=Parametres!$G$3),J165,D165)</f>
        <v>-18500.54</v>
      </c>
      <c r="P165" s="655">
        <f>+IF(OR($Q165=Parametres!$G$2,$Q165=Parametres!$G$3),K165,E165)</f>
        <v>-162619.84</v>
      </c>
      <c r="Q165" s="654" t="str">
        <f t="shared" ref="Q165:S165" si="156">+F165</f>
        <v>3-Passifs</v>
      </c>
      <c r="R165" s="653" t="str">
        <f t="shared" si="156"/>
        <v>2503</v>
      </c>
      <c r="S165" s="654" t="str">
        <f t="shared" si="156"/>
        <v>_</v>
      </c>
      <c r="T165" s="656" t="str">
        <f>+VLOOKUP($L165,Data_Validation!$A:$D,1,0)</f>
        <v>2503</v>
      </c>
      <c r="U165" s="656" t="str">
        <f>+VLOOKUP($L165,Data_Validation!$A:$D,3,0)</f>
        <v>Bilan</v>
      </c>
      <c r="V165" s="656" t="str">
        <f>+VLOOKUP($L165,Data_Validation!$A:$D,4,0)</f>
        <v>Salaires à Payer</v>
      </c>
      <c r="W165" s="656" t="str">
        <f>+VLOOKUP($L165,Data_Validation!$A:$E,5,0)</f>
        <v>$</v>
      </c>
      <c r="X165" s="656">
        <f>+VLOOKUP($L165,Data_Validation!$A:$F,6,0)</f>
        <v>0</v>
      </c>
    </row>
    <row r="166" spans="1:24" ht="15" customHeight="1">
      <c r="A166" s="1218" t="s">
        <v>946</v>
      </c>
      <c r="B166" s="1218" t="s">
        <v>1740</v>
      </c>
      <c r="C166" s="1220">
        <v>-268603.21999999997</v>
      </c>
      <c r="D166" s="1220">
        <v>11127.59</v>
      </c>
      <c r="E166" s="1220">
        <v>-257475.63</v>
      </c>
      <c r="F166" s="1218" t="s">
        <v>902</v>
      </c>
      <c r="G166" s="1218" t="s">
        <v>944</v>
      </c>
      <c r="H166" s="1218" t="s">
        <v>3950</v>
      </c>
      <c r="I166" s="665"/>
      <c r="J166" s="665"/>
      <c r="K166" s="665"/>
      <c r="L166" s="653" t="str">
        <f t="shared" si="132"/>
        <v>2509</v>
      </c>
      <c r="M166" s="654" t="str">
        <f t="shared" si="0"/>
        <v>SALAIRES DE VACANCES</v>
      </c>
      <c r="N166" s="655">
        <f>+IF(OR($Q166=Parametres!$G$2,$Q166=Parametres!$G$3),I166,C166)</f>
        <v>-268603.21999999997</v>
      </c>
      <c r="O166" s="655">
        <f>+IF(OR($Q166=Parametres!$G$2,$Q166=Parametres!$G$3),J166,D166)</f>
        <v>11127.59</v>
      </c>
      <c r="P166" s="655">
        <f>+IF(OR($Q166=Parametres!$G$2,$Q166=Parametres!$G$3),K166,E166)</f>
        <v>-257475.63</v>
      </c>
      <c r="Q166" s="654" t="str">
        <f t="shared" ref="Q166:S166" si="157">+F166</f>
        <v>3-Passifs</v>
      </c>
      <c r="R166" s="653" t="str">
        <f t="shared" si="157"/>
        <v>2503</v>
      </c>
      <c r="S166" s="654" t="str">
        <f t="shared" si="157"/>
        <v>_</v>
      </c>
      <c r="T166" s="656" t="str">
        <f>+VLOOKUP($L166,Data_Validation!$A:$D,1,0)</f>
        <v>2509</v>
      </c>
      <c r="U166" s="656" t="str">
        <f>+VLOOKUP($L166,Data_Validation!$A:$D,3,0)</f>
        <v>Bilan</v>
      </c>
      <c r="V166" s="656" t="str">
        <f>+VLOOKUP($L166,Data_Validation!$A:$D,4,0)</f>
        <v>Salaires à Payer</v>
      </c>
      <c r="W166" s="656" t="str">
        <f>+VLOOKUP($L166,Data_Validation!$A:$E,5,0)</f>
        <v>$</v>
      </c>
      <c r="X166" s="656">
        <f>+VLOOKUP($L166,Data_Validation!$A:$F,6,0)</f>
        <v>0</v>
      </c>
    </row>
    <row r="167" spans="1:24" ht="15" customHeight="1">
      <c r="A167" s="1218" t="s">
        <v>947</v>
      </c>
      <c r="B167" s="1218" t="s">
        <v>1743</v>
      </c>
      <c r="C167" s="1220">
        <v>-14702.63</v>
      </c>
      <c r="D167" s="1220">
        <v>0</v>
      </c>
      <c r="E167" s="1220">
        <v>-14702.63</v>
      </c>
      <c r="F167" s="1218" t="s">
        <v>902</v>
      </c>
      <c r="G167" s="1218" t="s">
        <v>944</v>
      </c>
      <c r="H167" s="1218" t="s">
        <v>3950</v>
      </c>
      <c r="I167" s="665"/>
      <c r="J167" s="665"/>
      <c r="K167" s="665"/>
      <c r="L167" s="653" t="str">
        <f t="shared" si="132"/>
        <v>2511</v>
      </c>
      <c r="M167" s="654" t="str">
        <f t="shared" si="0"/>
        <v>JOURNEE MALADIE</v>
      </c>
      <c r="N167" s="655">
        <f>+IF(OR($Q167=Parametres!$G$2,$Q167=Parametres!$G$3),I167,C167)</f>
        <v>-14702.63</v>
      </c>
      <c r="O167" s="655">
        <f>+IF(OR($Q167=Parametres!$G$2,$Q167=Parametres!$G$3),J167,D167)</f>
        <v>0</v>
      </c>
      <c r="P167" s="655">
        <f>+IF(OR($Q167=Parametres!$G$2,$Q167=Parametres!$G$3),K167,E167)</f>
        <v>-14702.63</v>
      </c>
      <c r="Q167" s="654" t="str">
        <f t="shared" ref="Q167:S167" si="158">+F167</f>
        <v>3-Passifs</v>
      </c>
      <c r="R167" s="653" t="str">
        <f t="shared" si="158"/>
        <v>2503</v>
      </c>
      <c r="S167" s="654" t="str">
        <f t="shared" si="158"/>
        <v>_</v>
      </c>
      <c r="T167" s="656" t="str">
        <f>+VLOOKUP($L167,Data_Validation!$A:$D,1,0)</f>
        <v>2511</v>
      </c>
      <c r="U167" s="656" t="str">
        <f>+VLOOKUP($L167,Data_Validation!$A:$D,3,0)</f>
        <v>Bilan</v>
      </c>
      <c r="V167" s="656" t="str">
        <f>+VLOOKUP($L167,Data_Validation!$A:$D,4,0)</f>
        <v>Salaires à Payer</v>
      </c>
      <c r="W167" s="656" t="str">
        <f>+VLOOKUP($L167,Data_Validation!$A:$E,5,0)</f>
        <v>$</v>
      </c>
      <c r="X167" s="656">
        <f>+VLOOKUP($L167,Data_Validation!$A:$F,6,0)</f>
        <v>0</v>
      </c>
    </row>
    <row r="168" spans="1:24" ht="15.75" customHeight="1">
      <c r="A168" s="1218" t="s">
        <v>948</v>
      </c>
      <c r="B168" s="1218" t="s">
        <v>949</v>
      </c>
      <c r="C168" s="1220">
        <v>-111277</v>
      </c>
      <c r="D168" s="1220">
        <v>-34124</v>
      </c>
      <c r="E168" s="1220">
        <v>-145401</v>
      </c>
      <c r="F168" s="1218" t="s">
        <v>902</v>
      </c>
      <c r="G168" s="1218" t="s">
        <v>949</v>
      </c>
      <c r="H168" s="1218" t="s">
        <v>3950</v>
      </c>
      <c r="I168" s="665"/>
      <c r="J168" s="665"/>
      <c r="K168" s="665"/>
      <c r="L168" s="653" t="str">
        <f t="shared" si="132"/>
        <v>2561</v>
      </c>
      <c r="M168" s="654" t="str">
        <f t="shared" si="0"/>
        <v>REVENUE HOLDBACK DIFFERE</v>
      </c>
      <c r="N168" s="655">
        <f>+IF(OR($Q168=Parametres!$G$2,$Q168=Parametres!$G$3),I168,C168)</f>
        <v>-111277</v>
      </c>
      <c r="O168" s="655">
        <f>+IF(OR($Q168=Parametres!$G$2,$Q168=Parametres!$G$3),J168,D168)</f>
        <v>-34124</v>
      </c>
      <c r="P168" s="655">
        <f>+IF(OR($Q168=Parametres!$G$2,$Q168=Parametres!$G$3),K168,E168)</f>
        <v>-145401</v>
      </c>
      <c r="Q168" s="654" t="str">
        <f t="shared" ref="Q168:S168" si="159">+F168</f>
        <v>3-Passifs</v>
      </c>
      <c r="R168" s="653" t="str">
        <f t="shared" si="159"/>
        <v>2561</v>
      </c>
      <c r="S168" s="654" t="str">
        <f t="shared" si="159"/>
        <v>_</v>
      </c>
      <c r="T168" s="656" t="str">
        <f>+VLOOKUP($L168,Data_Validation!$A:$D,1,0)</f>
        <v>2561</v>
      </c>
      <c r="U168" s="656" t="str">
        <f>+VLOOKUP($L168,Data_Validation!$A:$D,3,0)</f>
        <v>Bilan</v>
      </c>
      <c r="V168" s="656" t="str">
        <f>+VLOOKUP($L168,Data_Validation!$A:$D,4,0)</f>
        <v>Autres Courus</v>
      </c>
      <c r="W168" s="656" t="str">
        <f>+VLOOKUP($L168,Data_Validation!$A:$E,5,0)</f>
        <v>$</v>
      </c>
      <c r="X168" s="656">
        <f>+VLOOKUP($L168,Data_Validation!$A:$F,6,0)</f>
        <v>0</v>
      </c>
    </row>
    <row r="169" spans="1:24" ht="15" customHeight="1">
      <c r="A169" s="1218" t="s">
        <v>950</v>
      </c>
      <c r="B169" s="1218" t="s">
        <v>3379</v>
      </c>
      <c r="C169" s="1220">
        <v>-242566.15</v>
      </c>
      <c r="D169" s="1220">
        <v>0</v>
      </c>
      <c r="E169" s="1220">
        <v>-242566.15</v>
      </c>
      <c r="F169" s="1218" t="s">
        <v>902</v>
      </c>
      <c r="G169" s="1218" t="s">
        <v>951</v>
      </c>
      <c r="H169" s="1218" t="s">
        <v>3950</v>
      </c>
      <c r="I169" s="666"/>
      <c r="J169" s="666"/>
      <c r="K169" s="666"/>
      <c r="L169" s="653" t="str">
        <f t="shared" si="132"/>
        <v>2562</v>
      </c>
      <c r="M169" s="654" t="str">
        <f t="shared" si="0"/>
        <v>PROVISIONS QG</v>
      </c>
      <c r="N169" s="655">
        <f>+IF(OR($Q169=Parametres!$G$2,$Q169=Parametres!$G$3),I169,C169)</f>
        <v>-242566.15</v>
      </c>
      <c r="O169" s="655">
        <f>+IF(OR($Q169=Parametres!$G$2,$Q169=Parametres!$G$3),J169,D169)</f>
        <v>0</v>
      </c>
      <c r="P169" s="655">
        <f>+IF(OR($Q169=Parametres!$G$2,$Q169=Parametres!$G$3),K169,E169)</f>
        <v>-242566.15</v>
      </c>
      <c r="Q169" s="654" t="str">
        <f t="shared" ref="Q169:S169" si="160">+F169</f>
        <v>3-Passifs</v>
      </c>
      <c r="R169" s="653" t="str">
        <f t="shared" si="160"/>
        <v>256</v>
      </c>
      <c r="S169" s="654" t="str">
        <f t="shared" si="160"/>
        <v>_</v>
      </c>
      <c r="T169" s="656" t="str">
        <f>+VLOOKUP($L169,Data_Validation!$A:$D,1,0)</f>
        <v>2562</v>
      </c>
      <c r="U169" s="656" t="str">
        <f>+VLOOKUP($L169,Data_Validation!$A:$D,3,0)</f>
        <v>Bilan</v>
      </c>
      <c r="V169" s="656" t="str">
        <f>+VLOOKUP($L169,Data_Validation!$A:$D,4,0)</f>
        <v>Autres Courus</v>
      </c>
      <c r="W169" s="656" t="str">
        <f>+VLOOKUP($L169,Data_Validation!$A:$E,5,0)</f>
        <v>$</v>
      </c>
      <c r="X169" s="656">
        <f>+VLOOKUP($L169,Data_Validation!$A:$F,6,0)</f>
        <v>0</v>
      </c>
    </row>
    <row r="170" spans="1:24" ht="15" customHeight="1">
      <c r="A170" s="1218" t="s">
        <v>956</v>
      </c>
      <c r="B170" s="1218" t="s">
        <v>958</v>
      </c>
      <c r="C170" s="1220">
        <v>-2350000</v>
      </c>
      <c r="D170" s="1220">
        <v>0</v>
      </c>
      <c r="E170" s="1220">
        <v>-2350000</v>
      </c>
      <c r="F170" s="1218" t="s">
        <v>957</v>
      </c>
      <c r="G170" s="1218" t="s">
        <v>958</v>
      </c>
      <c r="H170" s="1218" t="s">
        <v>3950</v>
      </c>
      <c r="I170" s="666"/>
      <c r="J170" s="666"/>
      <c r="K170" s="666"/>
      <c r="L170" s="653" t="str">
        <f t="shared" si="132"/>
        <v>3001</v>
      </c>
      <c r="M170" s="654" t="str">
        <f t="shared" si="0"/>
        <v>ACTIONS CATEGORIE 1</v>
      </c>
      <c r="N170" s="655">
        <f>+IF(OR($Q170=Parametres!$G$2,$Q170=Parametres!$G$3),I170,C170)</f>
        <v>-2350000</v>
      </c>
      <c r="O170" s="655">
        <f>+IF(OR($Q170=Parametres!$G$2,$Q170=Parametres!$G$3),J170,D170)</f>
        <v>0</v>
      </c>
      <c r="P170" s="655">
        <f>+IF(OR($Q170=Parametres!$G$2,$Q170=Parametres!$G$3),K170,E170)</f>
        <v>-2350000</v>
      </c>
      <c r="Q170" s="654" t="str">
        <f t="shared" ref="Q170:S170" si="161">+F170</f>
        <v>4-Valeur nette</v>
      </c>
      <c r="R170" s="653" t="str">
        <f t="shared" si="161"/>
        <v>3001</v>
      </c>
      <c r="S170" s="654" t="str">
        <f t="shared" si="161"/>
        <v>_</v>
      </c>
      <c r="T170" s="656" t="str">
        <f>+VLOOKUP($L170,Data_Validation!$A:$D,1,0)</f>
        <v>3001</v>
      </c>
      <c r="U170" s="656" t="str">
        <f>+VLOOKUP($L170,Data_Validation!$A:$D,3,0)</f>
        <v>Bilan</v>
      </c>
      <c r="V170" s="656" t="str">
        <f>+VLOOKUP($L170,Data_Validation!$A:$D,4,0)</f>
        <v>Capital Actions</v>
      </c>
      <c r="W170" s="656" t="str">
        <f>+VLOOKUP($L170,Data_Validation!$A:$E,5,0)</f>
        <v>$</v>
      </c>
      <c r="X170" s="656">
        <f>+VLOOKUP($L170,Data_Validation!$A:$F,6,0)</f>
        <v>0</v>
      </c>
    </row>
    <row r="171" spans="1:24" ht="15" customHeight="1">
      <c r="A171" s="1218" t="s">
        <v>959</v>
      </c>
      <c r="B171" s="1218" t="s">
        <v>1768</v>
      </c>
      <c r="C171" s="1220">
        <v>-1723617</v>
      </c>
      <c r="D171" s="1220">
        <v>0</v>
      </c>
      <c r="E171" s="1220">
        <v>-1723617</v>
      </c>
      <c r="F171" s="1218" t="s">
        <v>957</v>
      </c>
      <c r="G171" s="1218" t="s">
        <v>958</v>
      </c>
      <c r="H171" s="1218" t="s">
        <v>3950</v>
      </c>
      <c r="I171" s="666"/>
      <c r="J171" s="666"/>
      <c r="K171" s="666"/>
      <c r="L171" s="653" t="str">
        <f t="shared" si="132"/>
        <v>3003</v>
      </c>
      <c r="M171" s="654" t="str">
        <f t="shared" si="0"/>
        <v>APPORT / RETRAIT</v>
      </c>
      <c r="N171" s="655">
        <f>+IF(OR($Q171=Parametres!$G$2,$Q171=Parametres!$G$3),I171,C171)</f>
        <v>-1723617</v>
      </c>
      <c r="O171" s="655">
        <f>+IF(OR($Q171=Parametres!$G$2,$Q171=Parametres!$G$3),J171,D171)</f>
        <v>0</v>
      </c>
      <c r="P171" s="655">
        <f>+IF(OR($Q171=Parametres!$G$2,$Q171=Parametres!$G$3),K171,E171)</f>
        <v>-1723617</v>
      </c>
      <c r="Q171" s="654" t="str">
        <f t="shared" ref="Q171:S171" si="162">+F171</f>
        <v>4-Valeur nette</v>
      </c>
      <c r="R171" s="653" t="str">
        <f t="shared" si="162"/>
        <v>3001</v>
      </c>
      <c r="S171" s="654" t="str">
        <f t="shared" si="162"/>
        <v>_</v>
      </c>
      <c r="T171" s="656" t="str">
        <f>+VLOOKUP($L171,Data_Validation!$A:$D,1,0)</f>
        <v>3003</v>
      </c>
      <c r="U171" s="656" t="str">
        <f>+VLOOKUP($L171,Data_Validation!$A:$D,3,0)</f>
        <v>Bilan</v>
      </c>
      <c r="V171" s="656" t="str">
        <f>+VLOOKUP($L171,Data_Validation!$A:$D,4,0)</f>
        <v>Apport</v>
      </c>
      <c r="W171" s="656" t="str">
        <f>+VLOOKUP($L171,Data_Validation!$A:$E,5,0)</f>
        <v>$</v>
      </c>
      <c r="X171" s="656">
        <f>+VLOOKUP($L171,Data_Validation!$A:$F,6,0)</f>
        <v>0</v>
      </c>
    </row>
    <row r="172" spans="1:24" ht="15.75" customHeight="1">
      <c r="A172" s="1218" t="s">
        <v>960</v>
      </c>
      <c r="B172" s="1218" t="s">
        <v>1771</v>
      </c>
      <c r="C172" s="1220">
        <v>-347547.5</v>
      </c>
      <c r="D172" s="1220">
        <v>0</v>
      </c>
      <c r="E172" s="1220">
        <v>-347547.5</v>
      </c>
      <c r="F172" s="1218" t="s">
        <v>957</v>
      </c>
      <c r="G172" s="1218" t="s">
        <v>958</v>
      </c>
      <c r="H172" s="1218" t="s">
        <v>3950</v>
      </c>
      <c r="I172" s="666"/>
      <c r="J172" s="666"/>
      <c r="K172" s="666"/>
      <c r="L172" s="653" t="str">
        <f t="shared" si="132"/>
        <v>3007</v>
      </c>
      <c r="M172" s="654" t="str">
        <f t="shared" si="0"/>
        <v>ACTIONS PARTICIPANTES</v>
      </c>
      <c r="N172" s="655">
        <f>+IF(OR($Q172=Parametres!$G$2,$Q172=Parametres!$G$3),I172,C172)</f>
        <v>-347547.5</v>
      </c>
      <c r="O172" s="655">
        <f>+IF(OR($Q172=Parametres!$G$2,$Q172=Parametres!$G$3),J172,D172)</f>
        <v>0</v>
      </c>
      <c r="P172" s="655">
        <f>+IF(OR($Q172=Parametres!$G$2,$Q172=Parametres!$G$3),K172,E172)</f>
        <v>-347547.5</v>
      </c>
      <c r="Q172" s="654" t="str">
        <f t="shared" ref="Q172:S172" si="163">+F172</f>
        <v>4-Valeur nette</v>
      </c>
      <c r="R172" s="653" t="str">
        <f t="shared" si="163"/>
        <v>3001</v>
      </c>
      <c r="S172" s="654" t="str">
        <f t="shared" si="163"/>
        <v>_</v>
      </c>
      <c r="T172" s="656" t="str">
        <f>+VLOOKUP($L172,Data_Validation!$A:$D,1,0)</f>
        <v>3007</v>
      </c>
      <c r="U172" s="656" t="str">
        <f>+VLOOKUP($L172,Data_Validation!$A:$D,3,0)</f>
        <v>Bilan</v>
      </c>
      <c r="V172" s="656" t="str">
        <f>+VLOOKUP($L172,Data_Validation!$A:$D,4,0)</f>
        <v>Capital Actions</v>
      </c>
      <c r="W172" s="656">
        <f>+VLOOKUP($L172,Data_Validation!$A:$E,5,0)</f>
        <v>0</v>
      </c>
      <c r="X172" s="656">
        <f>+VLOOKUP($L172,Data_Validation!$A:$F,6,0)</f>
        <v>0</v>
      </c>
    </row>
    <row r="173" spans="1:24" ht="15" customHeight="1">
      <c r="A173" s="1218" t="s">
        <v>961</v>
      </c>
      <c r="B173" s="1218" t="s">
        <v>1795</v>
      </c>
      <c r="C173" s="1220">
        <v>1990866.07</v>
      </c>
      <c r="D173" s="1220">
        <v>0</v>
      </c>
      <c r="E173" s="1220">
        <v>1990866.07</v>
      </c>
      <c r="F173" s="1218" t="s">
        <v>957</v>
      </c>
      <c r="G173" s="1218" t="s">
        <v>958</v>
      </c>
      <c r="H173" s="1218" t="s">
        <v>3950</v>
      </c>
      <c r="I173" s="666"/>
      <c r="J173" s="666"/>
      <c r="K173" s="666"/>
      <c r="L173" s="653" t="str">
        <f t="shared" si="132"/>
        <v>3201</v>
      </c>
      <c r="M173" s="654" t="str">
        <f t="shared" si="0"/>
        <v>BENEFICES NON-REPARTIS</v>
      </c>
      <c r="N173" s="655">
        <f>+IF(OR($Q173=Parametres!$G$2,$Q173=Parametres!$G$3),I173,C173)</f>
        <v>1990866.07</v>
      </c>
      <c r="O173" s="655">
        <f>+IF(OR($Q173=Parametres!$G$2,$Q173=Parametres!$G$3),J173,D173)</f>
        <v>0</v>
      </c>
      <c r="P173" s="655">
        <f>+IF(OR($Q173=Parametres!$G$2,$Q173=Parametres!$G$3),K173,E173)</f>
        <v>1990866.07</v>
      </c>
      <c r="Q173" s="654" t="str">
        <f t="shared" ref="Q173:S173" si="164">+F173</f>
        <v>4-Valeur nette</v>
      </c>
      <c r="R173" s="653" t="str">
        <f t="shared" si="164"/>
        <v>3001</v>
      </c>
      <c r="S173" s="654" t="str">
        <f t="shared" si="164"/>
        <v>_</v>
      </c>
      <c r="T173" s="656" t="str">
        <f>+VLOOKUP($L173,Data_Validation!$A:$D,1,0)</f>
        <v>3201</v>
      </c>
      <c r="U173" s="656" t="str">
        <f>+VLOOKUP($L173,Data_Validation!$A:$D,3,0)</f>
        <v>Bilan</v>
      </c>
      <c r="V173" s="656" t="str">
        <f>+VLOOKUP($L173,Data_Validation!$A:$D,4,0)</f>
        <v>Bénéfices non répartis</v>
      </c>
      <c r="W173" s="656" t="str">
        <f>+VLOOKUP($L173,Data_Validation!$A:$E,5,0)</f>
        <v>$</v>
      </c>
      <c r="X173" s="656">
        <f>+VLOOKUP($L173,Data_Validation!$A:$F,6,0)</f>
        <v>0</v>
      </c>
    </row>
    <row r="174" spans="1:24" ht="15" customHeight="1">
      <c r="A174" s="1218" t="s">
        <v>962</v>
      </c>
      <c r="B174" s="1218" t="s">
        <v>964</v>
      </c>
      <c r="C174" s="1220">
        <v>-1810010.89</v>
      </c>
      <c r="D174" s="1220">
        <v>-454625</v>
      </c>
      <c r="E174" s="1220">
        <v>-2264635.89</v>
      </c>
      <c r="F174" s="1218" t="s">
        <v>963</v>
      </c>
      <c r="G174" s="1218" t="s">
        <v>964</v>
      </c>
      <c r="H174" s="1218" t="s">
        <v>3950</v>
      </c>
      <c r="I174" s="666"/>
      <c r="J174" s="666"/>
      <c r="K174" s="666"/>
      <c r="L174" s="653" t="str">
        <f t="shared" si="132"/>
        <v>4100</v>
      </c>
      <c r="M174" s="654" t="str">
        <f t="shared" si="0"/>
        <v>VTE - RACHAT BAIL VW</v>
      </c>
      <c r="N174" s="655">
        <f>+IF(OR($Q174=Parametres!$G$2,$Q174=Parametres!$G$3),I174,C174)</f>
        <v>-1810010.89</v>
      </c>
      <c r="O174" s="655">
        <f>+IF(OR($Q174=Parametres!$G$2,$Q174=Parametres!$G$3),J174,D174)</f>
        <v>-454625</v>
      </c>
      <c r="P174" s="655">
        <f>+IF(OR($Q174=Parametres!$G$2,$Q174=Parametres!$G$3),K174,E174)</f>
        <v>-2264635.89</v>
      </c>
      <c r="Q174" s="654" t="str">
        <f t="shared" ref="Q174:S174" si="165">+F174</f>
        <v>5-Ventes</v>
      </c>
      <c r="R174" s="653" t="str">
        <f t="shared" si="165"/>
        <v>4100</v>
      </c>
      <c r="S174" s="654" t="str">
        <f t="shared" si="165"/>
        <v>_</v>
      </c>
      <c r="T174" s="656" t="str">
        <f>+VLOOKUP($L174,Data_Validation!$A:$D,1,0)</f>
        <v>4100</v>
      </c>
      <c r="U174" s="656" t="str">
        <f>+VLOOKUP($L174,Data_Validation!$A:$D,3,0)</f>
        <v>Véhicules neufs</v>
      </c>
      <c r="V174" s="656" t="str">
        <f>+VLOOKUP($L174,Data_Validation!$A:$D,4,0)</f>
        <v>Rachat bail</v>
      </c>
      <c r="W174" s="656" t="str">
        <f>+VLOOKUP($L174,Data_Validation!$A:$E,5,0)</f>
        <v>$</v>
      </c>
      <c r="X174" s="656" t="str">
        <f>+VLOOKUP($L174,Data_Validation!$A:$F,6,0)</f>
        <v>Oui</v>
      </c>
    </row>
    <row r="175" spans="1:24" ht="15" customHeight="1">
      <c r="A175" s="1218" t="s">
        <v>967</v>
      </c>
      <c r="B175" s="1218" t="s">
        <v>968</v>
      </c>
      <c r="C175" s="1220">
        <v>-853098.14</v>
      </c>
      <c r="D175" s="1220">
        <v>-165788.56</v>
      </c>
      <c r="E175" s="1220">
        <v>-1018886.7</v>
      </c>
      <c r="F175" s="1218" t="s">
        <v>963</v>
      </c>
      <c r="G175" s="1218" t="s">
        <v>968</v>
      </c>
      <c r="H175" s="1218" t="s">
        <v>3950</v>
      </c>
      <c r="I175" s="665"/>
      <c r="J175" s="665"/>
      <c r="K175" s="665"/>
      <c r="L175" s="653" t="str">
        <f t="shared" si="132"/>
        <v>4109</v>
      </c>
      <c r="M175" s="654" t="str">
        <f t="shared" si="0"/>
        <v>VTE - GOLF R</v>
      </c>
      <c r="N175" s="655">
        <f>+IF(OR($Q175=Parametres!$G$2,$Q175=Parametres!$G$3),I175,C175)</f>
        <v>-853098.14</v>
      </c>
      <c r="O175" s="655">
        <f>+IF(OR($Q175=Parametres!$G$2,$Q175=Parametres!$G$3),J175,D175)</f>
        <v>-165788.56</v>
      </c>
      <c r="P175" s="655">
        <f>+IF(OR($Q175=Parametres!$G$2,$Q175=Parametres!$G$3),K175,E175)</f>
        <v>-1018886.7</v>
      </c>
      <c r="Q175" s="654" t="str">
        <f t="shared" ref="Q175:S175" si="166">+F175</f>
        <v>5-Ventes</v>
      </c>
      <c r="R175" s="653" t="str">
        <f t="shared" si="166"/>
        <v>4109</v>
      </c>
      <c r="S175" s="654" t="str">
        <f t="shared" si="166"/>
        <v>_</v>
      </c>
      <c r="T175" s="656" t="str">
        <f>+VLOOKUP($L175,Data_Validation!$A:$D,1,0)</f>
        <v>4109</v>
      </c>
      <c r="U175" s="656" t="str">
        <f>+VLOOKUP($L175,Data_Validation!$A:$D,3,0)</f>
        <v>Véhicules neufs</v>
      </c>
      <c r="V175" s="656" t="str">
        <f>+VLOOKUP($L175,Data_Validation!$A:$D,4,0)</f>
        <v>Autos détail</v>
      </c>
      <c r="W175" s="656" t="str">
        <f>+VLOOKUP($L175,Data_Validation!$A:$E,5,0)</f>
        <v>$</v>
      </c>
      <c r="X175" s="656" t="str">
        <f>+VLOOKUP($L175,Data_Validation!$A:$F,6,0)</f>
        <v>Oui</v>
      </c>
    </row>
    <row r="176" spans="1:24" ht="15.75" customHeight="1">
      <c r="A176" s="1218" t="s">
        <v>971</v>
      </c>
      <c r="B176" s="1218" t="s">
        <v>972</v>
      </c>
      <c r="C176" s="1220">
        <v>-967546.86</v>
      </c>
      <c r="D176" s="1220">
        <v>-98381.39</v>
      </c>
      <c r="E176" s="1220">
        <v>-1065928.25</v>
      </c>
      <c r="F176" s="1218" t="s">
        <v>963</v>
      </c>
      <c r="G176" s="1218" t="s">
        <v>972</v>
      </c>
      <c r="H176" s="1218" t="s">
        <v>3950</v>
      </c>
      <c r="I176" s="667"/>
      <c r="J176" s="667"/>
      <c r="K176" s="667"/>
      <c r="L176" s="653" t="str">
        <f t="shared" si="132"/>
        <v>4111</v>
      </c>
      <c r="M176" s="654" t="str">
        <f t="shared" si="0"/>
        <v>JETTA/ JETTA GLI</v>
      </c>
      <c r="N176" s="655">
        <f>+IF(OR($Q176=Parametres!$G$2,$Q176=Parametres!$G$3),I176,C176)</f>
        <v>-967546.86</v>
      </c>
      <c r="O176" s="655">
        <f>+IF(OR($Q176=Parametres!$G$2,$Q176=Parametres!$G$3),J176,D176)</f>
        <v>-98381.39</v>
      </c>
      <c r="P176" s="655">
        <f>+IF(OR($Q176=Parametres!$G$2,$Q176=Parametres!$G$3),K176,E176)</f>
        <v>-1065928.25</v>
      </c>
      <c r="Q176" s="654" t="str">
        <f t="shared" ref="Q176:S176" si="167">+F176</f>
        <v>5-Ventes</v>
      </c>
      <c r="R176" s="653" t="str">
        <f t="shared" si="167"/>
        <v>4111</v>
      </c>
      <c r="S176" s="654" t="str">
        <f t="shared" si="167"/>
        <v>_</v>
      </c>
      <c r="T176" s="656" t="str">
        <f>+VLOOKUP($L176,Data_Validation!$A:$D,1,0)</f>
        <v>4111</v>
      </c>
      <c r="U176" s="656" t="str">
        <f>+VLOOKUP($L176,Data_Validation!$A:$D,3,0)</f>
        <v>Véhicules neufs</v>
      </c>
      <c r="V176" s="656" t="str">
        <f>+VLOOKUP($L176,Data_Validation!$A:$D,4,0)</f>
        <v>Autos détail</v>
      </c>
      <c r="W176" s="656" t="str">
        <f>+VLOOKUP($L176,Data_Validation!$A:$E,5,0)</f>
        <v>$</v>
      </c>
      <c r="X176" s="656" t="str">
        <f>+VLOOKUP($L176,Data_Validation!$A:$F,6,0)</f>
        <v>Oui</v>
      </c>
    </row>
    <row r="177" spans="1:24" ht="15" customHeight="1">
      <c r="A177" s="1218" t="s">
        <v>974</v>
      </c>
      <c r="B177" s="1218" t="s">
        <v>3380</v>
      </c>
      <c r="C177" s="1220">
        <v>-3513846.96</v>
      </c>
      <c r="D177" s="1220">
        <v>-1226963.08</v>
      </c>
      <c r="E177" s="1220">
        <v>-4740810.04</v>
      </c>
      <c r="F177" s="1218" t="s">
        <v>963</v>
      </c>
      <c r="G177" s="1218" t="s">
        <v>975</v>
      </c>
      <c r="H177" s="1218" t="s">
        <v>3950</v>
      </c>
      <c r="I177" s="666"/>
      <c r="J177" s="666"/>
      <c r="K177" s="666"/>
      <c r="L177" s="653" t="str">
        <f t="shared" si="132"/>
        <v>4118</v>
      </c>
      <c r="M177" s="654" t="str">
        <f t="shared" si="0"/>
        <v>VTES -TAOS</v>
      </c>
      <c r="N177" s="655">
        <f>+IF(OR($Q177=Parametres!$G$2,$Q177=Parametres!$G$3),I177,C177)</f>
        <v>-3513846.96</v>
      </c>
      <c r="O177" s="655">
        <f>+IF(OR($Q177=Parametres!$G$2,$Q177=Parametres!$G$3),J177,D177)</f>
        <v>-1226963.08</v>
      </c>
      <c r="P177" s="655">
        <f>+IF(OR($Q177=Parametres!$G$2,$Q177=Parametres!$G$3),K177,E177)</f>
        <v>-4740810.04</v>
      </c>
      <c r="Q177" s="654" t="str">
        <f t="shared" ref="Q177:S177" si="168">+F177</f>
        <v>5-Ventes</v>
      </c>
      <c r="R177" s="653" t="str">
        <f t="shared" si="168"/>
        <v>4117</v>
      </c>
      <c r="S177" s="654" t="str">
        <f t="shared" si="168"/>
        <v>_</v>
      </c>
      <c r="T177" s="656" t="str">
        <f>+VLOOKUP($L177,Data_Validation!$A:$D,1,0)</f>
        <v>4118</v>
      </c>
      <c r="U177" s="656" t="str">
        <f>+VLOOKUP($L177,Data_Validation!$A:$D,3,0)</f>
        <v>Véhicules neufs</v>
      </c>
      <c r="V177" s="656" t="str">
        <f>+VLOOKUP($L177,Data_Validation!$A:$D,4,0)</f>
        <v>Camions détail</v>
      </c>
      <c r="W177" s="656" t="str">
        <f>+VLOOKUP($L177,Data_Validation!$A:$E,5,0)</f>
        <v>$</v>
      </c>
      <c r="X177" s="656" t="str">
        <f>+VLOOKUP($L177,Data_Validation!$A:$F,6,0)</f>
        <v>Oui</v>
      </c>
    </row>
    <row r="178" spans="1:24" ht="15" customHeight="1">
      <c r="A178" s="1218" t="s">
        <v>979</v>
      </c>
      <c r="B178" s="1218" t="s">
        <v>980</v>
      </c>
      <c r="C178" s="1220">
        <v>-1656214.68</v>
      </c>
      <c r="D178" s="1220">
        <v>-64324.95</v>
      </c>
      <c r="E178" s="1220">
        <v>-1720539.63</v>
      </c>
      <c r="F178" s="1218" t="s">
        <v>963</v>
      </c>
      <c r="G178" s="1218" t="s">
        <v>980</v>
      </c>
      <c r="H178" s="1218" t="s">
        <v>3950</v>
      </c>
      <c r="I178" s="666"/>
      <c r="J178" s="666"/>
      <c r="K178" s="666"/>
      <c r="L178" s="653" t="str">
        <f t="shared" si="132"/>
        <v>4119</v>
      </c>
      <c r="M178" s="668" t="str">
        <f t="shared" si="0"/>
        <v>VTE - ATLAS</v>
      </c>
      <c r="N178" s="655">
        <f>+IF(OR($Q178=Parametres!$G$2,$Q178=Parametres!$G$3),I178,C178)</f>
        <v>-1656214.68</v>
      </c>
      <c r="O178" s="659">
        <f>+IF(OR($Q178=Parametres!$G$2,$Q178=Parametres!$G$3),J178,D178)</f>
        <v>-64324.95</v>
      </c>
      <c r="P178" s="669">
        <f>+IF(OR($Q178=Parametres!$G$2,$Q178=Parametres!$G$3),K178,E178)</f>
        <v>-1720539.63</v>
      </c>
      <c r="Q178" s="654" t="str">
        <f t="shared" ref="Q178:S178" si="169">+F178</f>
        <v>5-Ventes</v>
      </c>
      <c r="R178" s="653" t="str">
        <f t="shared" si="169"/>
        <v>4119</v>
      </c>
      <c r="S178" s="654" t="str">
        <f t="shared" si="169"/>
        <v>_</v>
      </c>
      <c r="T178" s="656" t="str">
        <f>+VLOOKUP($L178,Data_Validation!$A:$D,1,0)</f>
        <v>4119</v>
      </c>
      <c r="U178" s="656" t="str">
        <f>+VLOOKUP($L178,Data_Validation!$A:$D,3,0)</f>
        <v>Véhicules neufs</v>
      </c>
      <c r="V178" s="656" t="str">
        <f>+VLOOKUP($L178,Data_Validation!$A:$D,4,0)</f>
        <v>Camions détail</v>
      </c>
      <c r="W178" s="656" t="str">
        <f>+VLOOKUP($L178,Data_Validation!$A:$E,5,0)</f>
        <v>$</v>
      </c>
      <c r="X178" s="656" t="str">
        <f>+VLOOKUP($L178,Data_Validation!$A:$F,6,0)</f>
        <v>Oui</v>
      </c>
    </row>
    <row r="179" spans="1:24" ht="15" customHeight="1">
      <c r="A179" s="1218" t="s">
        <v>983</v>
      </c>
      <c r="B179" s="1218" t="s">
        <v>3349</v>
      </c>
      <c r="C179" s="1220">
        <v>-686653.86</v>
      </c>
      <c r="D179" s="1220">
        <v>-59204.91</v>
      </c>
      <c r="E179" s="1220">
        <v>-745858.77</v>
      </c>
      <c r="F179" s="1218" t="s">
        <v>963</v>
      </c>
      <c r="G179" s="1218" t="s">
        <v>3349</v>
      </c>
      <c r="H179" s="1218" t="s">
        <v>3950</v>
      </c>
      <c r="I179" s="666"/>
      <c r="J179" s="666"/>
      <c r="K179" s="666"/>
      <c r="L179" s="653" t="str">
        <f t="shared" si="132"/>
        <v>4121</v>
      </c>
      <c r="M179" s="654" t="str">
        <f t="shared" si="0"/>
        <v>VTES -VTE - ATLAS CROSS SPORT</v>
      </c>
      <c r="N179" s="655">
        <f>+IF(OR($Q179=Parametres!$G$2,$Q179=Parametres!$G$3),I179,C179)</f>
        <v>-686653.86</v>
      </c>
      <c r="O179" s="655">
        <f>+IF(OR($Q179=Parametres!$G$2,$Q179=Parametres!$G$3),J179,D179)</f>
        <v>-59204.91</v>
      </c>
      <c r="P179" s="655">
        <f>+IF(OR($Q179=Parametres!$G$2,$Q179=Parametres!$G$3),K179,E179)</f>
        <v>-745858.77</v>
      </c>
      <c r="Q179" s="654" t="str">
        <f t="shared" ref="Q179:S179" si="170">+F179</f>
        <v>5-Ventes</v>
      </c>
      <c r="R179" s="653" t="str">
        <f t="shared" si="170"/>
        <v>4121</v>
      </c>
      <c r="S179" s="654" t="str">
        <f t="shared" si="170"/>
        <v>_</v>
      </c>
      <c r="T179" s="656" t="str">
        <f>+VLOOKUP($L179,Data_Validation!$A:$D,1,0)</f>
        <v>4121</v>
      </c>
      <c r="U179" s="656" t="str">
        <f>+VLOOKUP($L179,Data_Validation!$A:$D,3,0)</f>
        <v>Véhicules neufs</v>
      </c>
      <c r="V179" s="656" t="str">
        <f>+VLOOKUP($L179,Data_Validation!$A:$D,4,0)</f>
        <v>Camions détail</v>
      </c>
      <c r="W179" s="656" t="str">
        <f>+VLOOKUP($L179,Data_Validation!$A:$E,5,0)</f>
        <v>$</v>
      </c>
      <c r="X179" s="656" t="str">
        <f>+VLOOKUP($L179,Data_Validation!$A:$F,6,0)</f>
        <v>oui</v>
      </c>
    </row>
    <row r="180" spans="1:24" ht="15" customHeight="1">
      <c r="A180" s="1218" t="s">
        <v>986</v>
      </c>
      <c r="B180" s="1218" t="s">
        <v>987</v>
      </c>
      <c r="C180" s="1220">
        <v>-668212.63</v>
      </c>
      <c r="D180" s="1220">
        <v>-216087.16</v>
      </c>
      <c r="E180" s="1220">
        <v>-884299.79</v>
      </c>
      <c r="F180" s="1218" t="s">
        <v>963</v>
      </c>
      <c r="G180" s="1218" t="s">
        <v>987</v>
      </c>
      <c r="H180" s="1218" t="s">
        <v>3950</v>
      </c>
      <c r="I180" s="666"/>
      <c r="J180" s="666"/>
      <c r="K180" s="666"/>
      <c r="L180" s="653" t="str">
        <f t="shared" ref="L180:L243" si="171">TEXT(B180,0)</f>
        <v>4127</v>
      </c>
      <c r="M180" s="654" t="str">
        <f t="shared" ref="M180:M243" si="172">+A180</f>
        <v>VTE - GOLF GTI</v>
      </c>
      <c r="N180" s="655">
        <f>+IF(OR($Q180=Parametres!$G$2,$Q180=Parametres!$G$3),I180,C180)</f>
        <v>-668212.63</v>
      </c>
      <c r="O180" s="659">
        <f>+IF(OR($Q180=Parametres!$G$2,$Q180=Parametres!$G$3),J180,D180)</f>
        <v>-216087.16</v>
      </c>
      <c r="P180" s="655">
        <f>+IF(OR($Q180=Parametres!$G$2,$Q180=Parametres!$G$3),K180,E180)</f>
        <v>-884299.79</v>
      </c>
      <c r="Q180" s="654" t="str">
        <f t="shared" ref="Q180:Q243" si="173">+F180</f>
        <v>5-Ventes</v>
      </c>
      <c r="R180" s="653" t="str">
        <f t="shared" ref="R180:R243" si="174">+G180</f>
        <v>4127</v>
      </c>
      <c r="S180" s="654" t="str">
        <f t="shared" ref="S180:S243" si="175">+H180</f>
        <v>_</v>
      </c>
      <c r="T180" s="656" t="str">
        <f>+VLOOKUP($L180,Data_Validation!$A:$D,1,0)</f>
        <v>4127</v>
      </c>
      <c r="U180" s="656" t="str">
        <f>+VLOOKUP($L180,Data_Validation!$A:$D,3,0)</f>
        <v>Véhicules neufs</v>
      </c>
      <c r="V180" s="656" t="str">
        <f>+VLOOKUP($L180,Data_Validation!$A:$D,4,0)</f>
        <v>Autos détail</v>
      </c>
      <c r="W180" s="656" t="str">
        <f>+VLOOKUP($L180,Data_Validation!$A:$E,5,0)</f>
        <v>$</v>
      </c>
      <c r="X180" s="656" t="str">
        <f>+VLOOKUP($L180,Data_Validation!$A:$F,6,0)</f>
        <v>Oui</v>
      </c>
    </row>
    <row r="181" spans="1:24" ht="15.75" customHeight="1">
      <c r="A181" s="1218" t="s">
        <v>990</v>
      </c>
      <c r="B181" s="1218" t="s">
        <v>991</v>
      </c>
      <c r="C181" s="1220">
        <v>-1437491.76</v>
      </c>
      <c r="D181" s="1220">
        <v>-1195593.33</v>
      </c>
      <c r="E181" s="1220">
        <v>-2633085.09</v>
      </c>
      <c r="F181" s="1218" t="s">
        <v>963</v>
      </c>
      <c r="G181" s="1218" t="s">
        <v>991</v>
      </c>
      <c r="H181" s="1218" t="s">
        <v>3950</v>
      </c>
      <c r="I181" s="666"/>
      <c r="J181" s="666"/>
      <c r="K181" s="666"/>
      <c r="L181" s="653" t="str">
        <f t="shared" si="171"/>
        <v>4131</v>
      </c>
      <c r="M181" s="654" t="str">
        <f t="shared" si="172"/>
        <v>VTE - TIGUAN LWB</v>
      </c>
      <c r="N181" s="655">
        <f>+IF(OR($Q181=Parametres!$G$2,$Q181=Parametres!$G$3),I181,C181)</f>
        <v>-1437491.76</v>
      </c>
      <c r="O181" s="655">
        <f>+IF(OR($Q181=Parametres!$G$2,$Q181=Parametres!$G$3),J181,D181)</f>
        <v>-1195593.33</v>
      </c>
      <c r="P181" s="655">
        <f>+IF(OR($Q181=Parametres!$G$2,$Q181=Parametres!$G$3),K181,E181)</f>
        <v>-2633085.09</v>
      </c>
      <c r="Q181" s="654" t="str">
        <f t="shared" si="173"/>
        <v>5-Ventes</v>
      </c>
      <c r="R181" s="653" t="str">
        <f t="shared" si="174"/>
        <v>4131</v>
      </c>
      <c r="S181" s="654" t="str">
        <f t="shared" si="175"/>
        <v>_</v>
      </c>
      <c r="T181" s="656" t="str">
        <f>+VLOOKUP($L181,Data_Validation!$A:$D,1,0)</f>
        <v>4131</v>
      </c>
      <c r="U181" s="656" t="str">
        <f>+VLOOKUP($L181,Data_Validation!$A:$D,3,0)</f>
        <v>Véhicules neufs</v>
      </c>
      <c r="V181" s="656" t="str">
        <f>+VLOOKUP($L181,Data_Validation!$A:$D,4,0)</f>
        <v>Camions détail</v>
      </c>
      <c r="W181" s="656" t="str">
        <f>+VLOOKUP($L181,Data_Validation!$A:$E,5,0)</f>
        <v>$</v>
      </c>
      <c r="X181" s="656" t="str">
        <f>+VLOOKUP($L181,Data_Validation!$A:$F,6,0)</f>
        <v>Oui</v>
      </c>
    </row>
    <row r="182" spans="1:24" ht="15.75" customHeight="1">
      <c r="A182" s="1218" t="s">
        <v>994</v>
      </c>
      <c r="B182" s="1218" t="s">
        <v>995</v>
      </c>
      <c r="C182" s="1220">
        <v>-493957.67</v>
      </c>
      <c r="D182" s="1220">
        <v>0</v>
      </c>
      <c r="E182" s="1220">
        <v>-493957.67</v>
      </c>
      <c r="F182" s="1218" t="s">
        <v>963</v>
      </c>
      <c r="G182" s="1218" t="s">
        <v>995</v>
      </c>
      <c r="H182" s="1218" t="s">
        <v>3950</v>
      </c>
      <c r="I182" s="666"/>
      <c r="J182" s="666"/>
      <c r="K182" s="666"/>
      <c r="L182" s="653" t="str">
        <f t="shared" si="171"/>
        <v>4137</v>
      </c>
      <c r="M182" s="654" t="str">
        <f t="shared" si="172"/>
        <v>VTE - VW-FLOTTE/VENTES ENTR/EMPLOYE/VEH DEMON</v>
      </c>
      <c r="N182" s="655">
        <f>+IF(OR($Q182=Parametres!$G$2,$Q182=Parametres!$G$3),I182,C182)</f>
        <v>-493957.67</v>
      </c>
      <c r="O182" s="655">
        <f>+IF(OR($Q182=Parametres!$G$2,$Q182=Parametres!$G$3),J182,D182)</f>
        <v>0</v>
      </c>
      <c r="P182" s="655">
        <f>+IF(OR($Q182=Parametres!$G$2,$Q182=Parametres!$G$3),K182,E182)</f>
        <v>-493957.67</v>
      </c>
      <c r="Q182" s="654" t="str">
        <f t="shared" si="173"/>
        <v>5-Ventes</v>
      </c>
      <c r="R182" s="653" t="str">
        <f t="shared" si="174"/>
        <v>4137</v>
      </c>
      <c r="S182" s="654" t="str">
        <f t="shared" si="175"/>
        <v>_</v>
      </c>
      <c r="T182" s="656" t="str">
        <f>+VLOOKUP($L182,Data_Validation!$A:$D,1,0)</f>
        <v>4137</v>
      </c>
      <c r="U182" s="656" t="str">
        <f>+VLOOKUP($L182,Data_Validation!$A:$D,3,0)</f>
        <v>Véhicules neufs</v>
      </c>
      <c r="V182" s="656" t="str">
        <f>+VLOOKUP($L182,Data_Validation!$A:$D,4,0)</f>
        <v>Flottes</v>
      </c>
      <c r="W182" s="656" t="str">
        <f>+VLOOKUP($L182,Data_Validation!$A:$E,5,0)</f>
        <v>$</v>
      </c>
      <c r="X182" s="656" t="str">
        <f>+VLOOKUP($L182,Data_Validation!$A:$F,6,0)</f>
        <v>Oui</v>
      </c>
    </row>
    <row r="183" spans="1:24" ht="15.75" customHeight="1">
      <c r="A183" s="1218" t="s">
        <v>998</v>
      </c>
      <c r="B183" s="1218" t="s">
        <v>999</v>
      </c>
      <c r="C183" s="1220">
        <v>-864012.2</v>
      </c>
      <c r="D183" s="1220">
        <v>-245219.62</v>
      </c>
      <c r="E183" s="1220">
        <v>-1109231.82</v>
      </c>
      <c r="F183" s="1218" t="s">
        <v>963</v>
      </c>
      <c r="G183" s="1218" t="s">
        <v>999</v>
      </c>
      <c r="H183" s="1218" t="s">
        <v>3950</v>
      </c>
      <c r="I183" s="666"/>
      <c r="J183" s="666"/>
      <c r="K183" s="666"/>
      <c r="L183" s="653" t="str">
        <f t="shared" si="171"/>
        <v>4139</v>
      </c>
      <c r="M183" s="654" t="str">
        <f t="shared" si="172"/>
        <v>VTE - VW FLOTTE/VENTE ENTR/EMPLOYE/VEH DEMONS</v>
      </c>
      <c r="N183" s="655">
        <f>+IF(OR($Q183=Parametres!$G$2,$Q183=Parametres!$G$3),I183,C183)</f>
        <v>-864012.2</v>
      </c>
      <c r="O183" s="655">
        <f>+IF(OR($Q183=Parametres!$G$2,$Q183=Parametres!$G$3),J183,D183)</f>
        <v>-245219.62</v>
      </c>
      <c r="P183" s="655">
        <f>+IF(OR($Q183=Parametres!$G$2,$Q183=Parametres!$G$3),K183,E183)</f>
        <v>-1109231.82</v>
      </c>
      <c r="Q183" s="654" t="str">
        <f t="shared" si="173"/>
        <v>5-Ventes</v>
      </c>
      <c r="R183" s="653" t="str">
        <f t="shared" si="174"/>
        <v>4139</v>
      </c>
      <c r="S183" s="654" t="str">
        <f t="shared" si="175"/>
        <v>_</v>
      </c>
      <c r="T183" s="656" t="str">
        <f>+VLOOKUP($L183,Data_Validation!$A:$D,1,0)</f>
        <v>4139</v>
      </c>
      <c r="U183" s="656" t="str">
        <f>+VLOOKUP($L183,Data_Validation!$A:$D,3,0)</f>
        <v>Véhicules neufs</v>
      </c>
      <c r="V183" s="656" t="str">
        <f>+VLOOKUP($L183,Data_Validation!$A:$D,4,0)</f>
        <v>Ex-Démos et courtoisies</v>
      </c>
      <c r="W183" s="656" t="str">
        <f>+VLOOKUP($L183,Data_Validation!$A:$E,5,0)</f>
        <v>$</v>
      </c>
      <c r="X183" s="656" t="str">
        <f>+VLOOKUP($L183,Data_Validation!$A:$F,6,0)</f>
        <v>Oui</v>
      </c>
    </row>
    <row r="184" spans="1:24" ht="15.75" customHeight="1">
      <c r="A184" s="1218" t="s">
        <v>3893</v>
      </c>
      <c r="B184" s="1218" t="s">
        <v>3894</v>
      </c>
      <c r="C184" s="1220">
        <v>-2649274.85</v>
      </c>
      <c r="D184" s="1220">
        <v>-117755.39</v>
      </c>
      <c r="E184" s="1220">
        <v>-2767030.24</v>
      </c>
      <c r="F184" s="1218" t="s">
        <v>963</v>
      </c>
      <c r="G184" s="1218" t="s">
        <v>3894</v>
      </c>
      <c r="H184" s="1218" t="s">
        <v>3950</v>
      </c>
      <c r="I184" s="667"/>
      <c r="J184" s="667"/>
      <c r="K184" s="667"/>
      <c r="L184" s="653" t="str">
        <f t="shared" si="171"/>
        <v>4141</v>
      </c>
      <c r="M184" s="654" t="str">
        <f t="shared" si="172"/>
        <v>VTES -VTE - ID4</v>
      </c>
      <c r="N184" s="655">
        <f>+IF(OR($Q184=Parametres!$G$2,$Q184=Parametres!$G$3),I184,C184)</f>
        <v>-2649274.85</v>
      </c>
      <c r="O184" s="659">
        <f>+IF(OR($Q184=Parametres!$G$2,$Q184=Parametres!$G$3),J184,D184)</f>
        <v>-117755.39</v>
      </c>
      <c r="P184" s="655">
        <f>+IF(OR($Q184=Parametres!$G$2,$Q184=Parametres!$G$3),K184,E184)</f>
        <v>-2767030.24</v>
      </c>
      <c r="Q184" s="654" t="str">
        <f t="shared" si="173"/>
        <v>5-Ventes</v>
      </c>
      <c r="R184" s="653" t="str">
        <f t="shared" si="174"/>
        <v>4141</v>
      </c>
      <c r="S184" s="654" t="str">
        <f t="shared" si="175"/>
        <v>_</v>
      </c>
      <c r="T184" s="656" t="str">
        <f>+VLOOKUP($L184,Data_Validation!$A:$D,1,0)</f>
        <v>4141</v>
      </c>
      <c r="U184" s="656" t="str">
        <f>+VLOOKUP($L184,Data_Validation!$A:$D,3,0)</f>
        <v>Véhicules neufs</v>
      </c>
      <c r="V184" s="656" t="str">
        <f>+VLOOKUP($L184,Data_Validation!$A:$D,4,0)</f>
        <v>Camions détail</v>
      </c>
      <c r="W184" s="656" t="str">
        <f>+VLOOKUP($L184,Data_Validation!$A:$E,5,0)</f>
        <v>$</v>
      </c>
      <c r="X184" s="656" t="str">
        <f>+VLOOKUP($L184,Data_Validation!$A:$F,6,0)</f>
        <v>Oui</v>
      </c>
    </row>
    <row r="185" spans="1:24" ht="15.75" customHeight="1">
      <c r="A185" s="1218" t="s">
        <v>1002</v>
      </c>
      <c r="B185" s="1218" t="s">
        <v>3381</v>
      </c>
      <c r="C185" s="1220">
        <v>-264545.73</v>
      </c>
      <c r="D185" s="1220">
        <v>-74145.399999999994</v>
      </c>
      <c r="E185" s="1220">
        <v>-338691.13</v>
      </c>
      <c r="F185" s="1218" t="s">
        <v>963</v>
      </c>
      <c r="G185" s="1218" t="s">
        <v>1003</v>
      </c>
      <c r="H185" s="1218" t="s">
        <v>3950</v>
      </c>
      <c r="I185" s="666"/>
      <c r="J185" s="666"/>
      <c r="K185" s="666"/>
      <c r="L185" s="653" t="str">
        <f t="shared" si="171"/>
        <v>4144</v>
      </c>
      <c r="M185" s="654" t="str">
        <f t="shared" si="172"/>
        <v>VTES -JETTA GLI</v>
      </c>
      <c r="N185" s="655">
        <f>+IF(OR($Q185=Parametres!$G$2,$Q185=Parametres!$G$3),I185,C185)</f>
        <v>-264545.73</v>
      </c>
      <c r="O185" s="655">
        <f>+IF(OR($Q185=Parametres!$G$2,$Q185=Parametres!$G$3),J185,D185)</f>
        <v>-74145.399999999994</v>
      </c>
      <c r="P185" s="655">
        <f>+IF(OR($Q185=Parametres!$G$2,$Q185=Parametres!$G$3),K185,E185)</f>
        <v>-338691.13</v>
      </c>
      <c r="Q185" s="654" t="str">
        <f t="shared" si="173"/>
        <v>5-Ventes</v>
      </c>
      <c r="R185" s="653" t="str">
        <f t="shared" si="174"/>
        <v>414</v>
      </c>
      <c r="S185" s="654" t="str">
        <f t="shared" si="175"/>
        <v>_</v>
      </c>
      <c r="T185" s="656" t="str">
        <f>+VLOOKUP($L185,Data_Validation!$A:$D,1,0)</f>
        <v>4144</v>
      </c>
      <c r="U185" s="656" t="str">
        <f>+VLOOKUP($L185,Data_Validation!$A:$D,3,0)</f>
        <v>Véhicules neufs</v>
      </c>
      <c r="V185" s="656" t="str">
        <f>+VLOOKUP($L185,Data_Validation!$A:$D,4,0)</f>
        <v>Autos détail</v>
      </c>
      <c r="W185" s="656" t="str">
        <f>+VLOOKUP($L185,Data_Validation!$A:$E,5,0)</f>
        <v>$</v>
      </c>
      <c r="X185" s="656" t="str">
        <f>+VLOOKUP($L185,Data_Validation!$A:$F,6,0)</f>
        <v>Oui</v>
      </c>
    </row>
    <row r="186" spans="1:24" ht="15.75" customHeight="1">
      <c r="A186" s="1218" t="s">
        <v>3952</v>
      </c>
      <c r="B186" s="1218" t="s">
        <v>3953</v>
      </c>
      <c r="C186" s="1220">
        <v>0</v>
      </c>
      <c r="D186" s="1220">
        <v>-90773.95</v>
      </c>
      <c r="E186" s="1220">
        <v>-90773.95</v>
      </c>
      <c r="F186" s="1218" t="s">
        <v>963</v>
      </c>
      <c r="G186" s="1218" t="s">
        <v>3954</v>
      </c>
      <c r="H186" s="1218" t="s">
        <v>3950</v>
      </c>
      <c r="I186" s="667"/>
      <c r="J186" s="667"/>
      <c r="K186" s="667"/>
      <c r="L186" s="653" t="str">
        <f t="shared" si="171"/>
        <v>4145</v>
      </c>
      <c r="M186" s="654" t="str">
        <f t="shared" si="172"/>
        <v>ID BUZZ</v>
      </c>
      <c r="N186" s="655">
        <f>+IF(OR($Q186=Parametres!$G$2,$Q186=Parametres!$G$3),I186,C186)</f>
        <v>0</v>
      </c>
      <c r="O186" s="659">
        <f>+IF(OR($Q186=Parametres!$G$2,$Q186=Parametres!$G$3),J186,D186)</f>
        <v>-90773.95</v>
      </c>
      <c r="P186" s="655">
        <f>+IF(OR($Q186=Parametres!$G$2,$Q186=Parametres!$G$3),K186,E186)</f>
        <v>-90773.95</v>
      </c>
      <c r="Q186" s="654" t="str">
        <f t="shared" si="173"/>
        <v>5-Ventes</v>
      </c>
      <c r="R186" s="653" t="str">
        <f t="shared" si="174"/>
        <v>84137</v>
      </c>
      <c r="S186" s="654" t="str">
        <f t="shared" si="175"/>
        <v>_</v>
      </c>
      <c r="T186" s="656" t="str">
        <f>+VLOOKUP($L186,Data_Validation!$A:$D,1,0)</f>
        <v>4145</v>
      </c>
      <c r="U186" s="656" t="str">
        <f>+VLOOKUP($L186,Data_Validation!$A:$D,3,0)</f>
        <v>Véhicules neufs</v>
      </c>
      <c r="V186" s="656" t="str">
        <f>+VLOOKUP($L186,Data_Validation!$A:$D,4,0)</f>
        <v>Camions détail</v>
      </c>
      <c r="W186" s="656" t="str">
        <f>+VLOOKUP($L186,Data_Validation!$A:$E,5,0)</f>
        <v>$</v>
      </c>
      <c r="X186" s="656" t="str">
        <f>+VLOOKUP($L186,Data_Validation!$A:$F,6,0)</f>
        <v>Oui</v>
      </c>
    </row>
    <row r="187" spans="1:24" ht="15" customHeight="1">
      <c r="A187" s="1218" t="s">
        <v>1006</v>
      </c>
      <c r="B187" s="1218" t="s">
        <v>1007</v>
      </c>
      <c r="C187" s="1220">
        <v>-3626709.44</v>
      </c>
      <c r="D187" s="1220">
        <v>-784170.71</v>
      </c>
      <c r="E187" s="1220">
        <v>-4410880.1500000004</v>
      </c>
      <c r="F187" s="1218" t="s">
        <v>963</v>
      </c>
      <c r="G187" s="1218" t="s">
        <v>1007</v>
      </c>
      <c r="H187" s="1218" t="s">
        <v>3950</v>
      </c>
      <c r="I187" s="666"/>
      <c r="J187" s="666"/>
      <c r="K187" s="666"/>
      <c r="L187" s="653" t="str">
        <f t="shared" si="171"/>
        <v>4201</v>
      </c>
      <c r="M187" s="654" t="str">
        <f t="shared" si="172"/>
        <v>VTE - VEH.USAGE VW DETAIL CERTIFIE</v>
      </c>
      <c r="N187" s="655">
        <f>+IF(OR($Q187=Parametres!$G$2,$Q187=Parametres!$G$3),I187,C187)</f>
        <v>-3626709.44</v>
      </c>
      <c r="O187" s="655">
        <f>+IF(OR($Q187=Parametres!$G$2,$Q187=Parametres!$G$3),J187,D187)</f>
        <v>-784170.71</v>
      </c>
      <c r="P187" s="655">
        <f>+IF(OR($Q187=Parametres!$G$2,$Q187=Parametres!$G$3),K187,E187)</f>
        <v>-4410880.1500000004</v>
      </c>
      <c r="Q187" s="654" t="str">
        <f t="shared" si="173"/>
        <v>5-Ventes</v>
      </c>
      <c r="R187" s="653" t="str">
        <f t="shared" si="174"/>
        <v>4201</v>
      </c>
      <c r="S187" s="654" t="str">
        <f t="shared" si="175"/>
        <v>_</v>
      </c>
      <c r="T187" s="656" t="str">
        <f>+VLOOKUP($L187,Data_Validation!$A:$D,1,0)</f>
        <v>4201</v>
      </c>
      <c r="U187" s="656" t="str">
        <f>+VLOOKUP($L187,Data_Validation!$A:$D,3,0)</f>
        <v>Véhicules usagés</v>
      </c>
      <c r="V187" s="656" t="str">
        <f>+VLOOKUP($L187,Data_Validation!$A:$D,4,0)</f>
        <v>Certifié</v>
      </c>
      <c r="W187" s="656" t="str">
        <f>+VLOOKUP($L187,Data_Validation!$A:$E,5,0)</f>
        <v>$</v>
      </c>
      <c r="X187" s="656" t="str">
        <f>+VLOOKUP($L187,Data_Validation!$A:$F,6,0)</f>
        <v>Oui</v>
      </c>
    </row>
    <row r="188" spans="1:24" ht="15" customHeight="1">
      <c r="A188" s="1218" t="s">
        <v>1010</v>
      </c>
      <c r="B188" s="1218" t="s">
        <v>1011</v>
      </c>
      <c r="C188" s="1220">
        <v>-113377.9</v>
      </c>
      <c r="D188" s="1220">
        <v>0</v>
      </c>
      <c r="E188" s="1220">
        <v>-113377.9</v>
      </c>
      <c r="F188" s="1218" t="s">
        <v>963</v>
      </c>
      <c r="G188" s="1218" t="s">
        <v>1011</v>
      </c>
      <c r="H188" s="1218" t="s">
        <v>3950</v>
      </c>
      <c r="I188" s="652"/>
      <c r="J188" s="652"/>
      <c r="K188" s="652"/>
      <c r="L188" s="653" t="str">
        <f t="shared" si="171"/>
        <v>4211</v>
      </c>
      <c r="M188" s="654" t="str">
        <f t="shared" si="172"/>
        <v>VTE - VW USAGES DETAIL</v>
      </c>
      <c r="N188" s="655">
        <f>+IF(OR($Q188=Parametres!$G$2,$Q188=Parametres!$G$3),I188,C188)</f>
        <v>-113377.9</v>
      </c>
      <c r="O188" s="655">
        <f>+IF(OR($Q188=Parametres!$G$2,$Q188=Parametres!$G$3),J188,D188)</f>
        <v>0</v>
      </c>
      <c r="P188" s="655">
        <f>+IF(OR($Q188=Parametres!$G$2,$Q188=Parametres!$G$3),K188,E188)</f>
        <v>-113377.9</v>
      </c>
      <c r="Q188" s="654" t="str">
        <f t="shared" si="173"/>
        <v>5-Ventes</v>
      </c>
      <c r="R188" s="653" t="str">
        <f t="shared" si="174"/>
        <v>4211</v>
      </c>
      <c r="S188" s="654" t="str">
        <f t="shared" si="175"/>
        <v>_</v>
      </c>
      <c r="T188" s="656" t="str">
        <f>+VLOOKUP($L188,Data_Validation!$A:$D,1,0)</f>
        <v>4211</v>
      </c>
      <c r="U188" s="656" t="str">
        <f>+VLOOKUP($L188,Data_Validation!$A:$D,3,0)</f>
        <v>Véhicules usagés</v>
      </c>
      <c r="V188" s="656" t="str">
        <f>+VLOOKUP($L188,Data_Validation!$A:$D,4,0)</f>
        <v>Non Certifié</v>
      </c>
      <c r="W188" s="656" t="str">
        <f>+VLOOKUP($L188,Data_Validation!$A:$E,5,0)</f>
        <v>$</v>
      </c>
      <c r="X188" s="656" t="str">
        <f>+VLOOKUP($L188,Data_Validation!$A:$F,6,0)</f>
        <v>Oui</v>
      </c>
    </row>
    <row r="189" spans="1:24" ht="15" customHeight="1">
      <c r="A189" s="1218" t="s">
        <v>1014</v>
      </c>
      <c r="B189" s="1218" t="s">
        <v>1933</v>
      </c>
      <c r="C189" s="1220">
        <v>-113901.95</v>
      </c>
      <c r="D189" s="1220">
        <v>0</v>
      </c>
      <c r="E189" s="1220">
        <v>-113901.95</v>
      </c>
      <c r="F189" s="1218" t="s">
        <v>963</v>
      </c>
      <c r="G189" s="1218" t="s">
        <v>1015</v>
      </c>
      <c r="H189" s="1218" t="s">
        <v>3950</v>
      </c>
      <c r="I189" s="651"/>
      <c r="J189" s="651"/>
      <c r="K189" s="651"/>
      <c r="L189" s="653" t="str">
        <f t="shared" si="171"/>
        <v>4285</v>
      </c>
      <c r="M189" s="654" t="str">
        <f t="shared" si="172"/>
        <v>VEH. D'OCC. AUTRE DETAIL</v>
      </c>
      <c r="N189" s="655">
        <f>+IF(OR($Q189=Parametres!$G$2,$Q189=Parametres!$G$3),I189,C189)</f>
        <v>-113901.95</v>
      </c>
      <c r="O189" s="655">
        <f>+IF(OR($Q189=Parametres!$G$2,$Q189=Parametres!$G$3),J189,D189)</f>
        <v>0</v>
      </c>
      <c r="P189" s="655">
        <f>+IF(OR($Q189=Parametres!$G$2,$Q189=Parametres!$G$3),K189,E189)</f>
        <v>-113901.95</v>
      </c>
      <c r="Q189" s="654" t="str">
        <f t="shared" si="173"/>
        <v>5-Ventes</v>
      </c>
      <c r="R189" s="653" t="str">
        <f t="shared" si="174"/>
        <v>4261</v>
      </c>
      <c r="S189" s="654" t="str">
        <f t="shared" si="175"/>
        <v>_</v>
      </c>
      <c r="T189" s="656" t="str">
        <f>+VLOOKUP($L189,Data_Validation!$A:$D,1,0)</f>
        <v>4285</v>
      </c>
      <c r="U189" s="656" t="str">
        <f>+VLOOKUP($L189,Data_Validation!$A:$D,3,0)</f>
        <v>Véhicules usagés</v>
      </c>
      <c r="V189" s="656" t="str">
        <f>+VLOOKUP($L189,Data_Validation!$A:$D,4,0)</f>
        <v>Autres Marques</v>
      </c>
      <c r="W189" s="656" t="str">
        <f>+VLOOKUP($L189,Data_Validation!$A:$E,5,0)</f>
        <v>$</v>
      </c>
      <c r="X189" s="656" t="str">
        <f>+VLOOKUP($L189,Data_Validation!$A:$F,6,0)</f>
        <v>Oui</v>
      </c>
    </row>
    <row r="190" spans="1:24" ht="15" customHeight="1">
      <c r="A190" s="1218" t="s">
        <v>1018</v>
      </c>
      <c r="B190" s="1218" t="s">
        <v>1942</v>
      </c>
      <c r="C190" s="1220">
        <v>-2072316</v>
      </c>
      <c r="D190" s="1220">
        <v>-884124</v>
      </c>
      <c r="E190" s="1220">
        <v>-2956440</v>
      </c>
      <c r="F190" s="1218" t="s">
        <v>963</v>
      </c>
      <c r="G190" s="1218" t="s">
        <v>1019</v>
      </c>
      <c r="H190" s="1218" t="s">
        <v>3950</v>
      </c>
      <c r="I190" s="652"/>
      <c r="J190" s="652"/>
      <c r="K190" s="652"/>
      <c r="L190" s="653" t="str">
        <f t="shared" si="171"/>
        <v>4291</v>
      </c>
      <c r="M190" s="654" t="str">
        <f t="shared" si="172"/>
        <v>VEH. D'OCC. AU GROS</v>
      </c>
      <c r="N190" s="655">
        <f>+IF(OR($Q190=Parametres!$G$2,$Q190=Parametres!$G$3),I190,C190)</f>
        <v>-2072316</v>
      </c>
      <c r="O190" s="655">
        <f>+IF(OR($Q190=Parametres!$G$2,$Q190=Parametres!$G$3),J190,D190)</f>
        <v>-884124</v>
      </c>
      <c r="P190" s="655">
        <f>+IF(OR($Q190=Parametres!$G$2,$Q190=Parametres!$G$3),K190,E190)</f>
        <v>-2956440</v>
      </c>
      <c r="Q190" s="654" t="str">
        <f t="shared" si="173"/>
        <v>5-Ventes</v>
      </c>
      <c r="R190" s="653" t="str">
        <f t="shared" si="174"/>
        <v>4281</v>
      </c>
      <c r="S190" s="654" t="str">
        <f t="shared" si="175"/>
        <v>_</v>
      </c>
      <c r="T190" s="656" t="str">
        <f>+VLOOKUP($L190,Data_Validation!$A:$D,1,0)</f>
        <v>4291</v>
      </c>
      <c r="U190" s="656" t="str">
        <f>+VLOOKUP($L190,Data_Validation!$A:$D,3,0)</f>
        <v>Véhicules usagés</v>
      </c>
      <c r="V190" s="656" t="str">
        <f>+VLOOKUP($L190,Data_Validation!$A:$D,4,0)</f>
        <v>Ventes au Gros</v>
      </c>
      <c r="W190" s="656" t="str">
        <f>+VLOOKUP($L190,Data_Validation!$A:$E,5,0)</f>
        <v>$</v>
      </c>
      <c r="X190" s="656" t="str">
        <f>+VLOOKUP($L190,Data_Validation!$A:$F,6,0)</f>
        <v>Oui</v>
      </c>
    </row>
    <row r="191" spans="1:24" ht="15" customHeight="1">
      <c r="A191" s="1218" t="s">
        <v>3671</v>
      </c>
      <c r="B191" s="1218" t="s">
        <v>1023</v>
      </c>
      <c r="C191" s="1220">
        <v>-873841.27</v>
      </c>
      <c r="D191" s="1220">
        <v>-135542.73000000001</v>
      </c>
      <c r="E191" s="1220">
        <v>-1009384</v>
      </c>
      <c r="F191" s="1218" t="s">
        <v>963</v>
      </c>
      <c r="G191" s="1218" t="s">
        <v>1023</v>
      </c>
      <c r="H191" s="1218" t="s">
        <v>3950</v>
      </c>
      <c r="I191" s="651"/>
      <c r="J191" s="651"/>
      <c r="K191" s="670"/>
      <c r="L191" s="653" t="str">
        <f t="shared" si="171"/>
        <v>4401</v>
      </c>
      <c r="M191" s="654" t="str">
        <f t="shared" si="172"/>
        <v>MAIN-D'OEUVRE - CLIENT VW - MCI</v>
      </c>
      <c r="N191" s="655">
        <f>+IF(OR($Q191=Parametres!$G$2,$Q191=Parametres!$G$3),I191,C191)</f>
        <v>-873841.27</v>
      </c>
      <c r="O191" s="655">
        <f>+IF(OR($Q191=Parametres!$G$2,$Q191=Parametres!$G$3),J191,D191)</f>
        <v>-135542.73000000001</v>
      </c>
      <c r="P191" s="655">
        <f>+IF(OR($Q191=Parametres!$G$2,$Q191=Parametres!$G$3),K191,E191)</f>
        <v>-1009384</v>
      </c>
      <c r="Q191" s="654" t="str">
        <f t="shared" si="173"/>
        <v>5-Ventes</v>
      </c>
      <c r="R191" s="653" t="str">
        <f t="shared" si="174"/>
        <v>4401</v>
      </c>
      <c r="S191" s="654" t="str">
        <f t="shared" si="175"/>
        <v>_</v>
      </c>
      <c r="T191" s="656" t="str">
        <f>+VLOOKUP($L191,Data_Validation!$A:$D,1,0)</f>
        <v>4401</v>
      </c>
      <c r="U191" s="656" t="str">
        <f>+VLOOKUP($L191,Data_Validation!$A:$D,3,0)</f>
        <v>Service</v>
      </c>
      <c r="V191" s="656" t="str">
        <f>+VLOOKUP($L191,Data_Validation!$A:$D,4,0)</f>
        <v>M/O Client</v>
      </c>
      <c r="W191" s="656" t="str">
        <f>+VLOOKUP($L191,Data_Validation!$A:$E,5,0)</f>
        <v>$</v>
      </c>
      <c r="X191" s="656" t="str">
        <f>+VLOOKUP($L191,Data_Validation!$A:$F,6,0)</f>
        <v>Oui</v>
      </c>
    </row>
    <row r="192" spans="1:24" ht="15" customHeight="1">
      <c r="A192" s="1218" t="s">
        <v>1025</v>
      </c>
      <c r="B192" s="1218" t="s">
        <v>1026</v>
      </c>
      <c r="C192" s="1220">
        <v>-74218.350000000006</v>
      </c>
      <c r="D192" s="1220">
        <v>-8246.2000000000007</v>
      </c>
      <c r="E192" s="1220">
        <v>-82464.55</v>
      </c>
      <c r="F192" s="1218" t="s">
        <v>963</v>
      </c>
      <c r="G192" s="1218" t="s">
        <v>1026</v>
      </c>
      <c r="H192" s="1218" t="s">
        <v>3950</v>
      </c>
      <c r="I192" s="652"/>
      <c r="J192" s="652"/>
      <c r="K192" s="652"/>
      <c r="L192" s="653" t="str">
        <f t="shared" si="171"/>
        <v>4402</v>
      </c>
      <c r="M192" s="654" t="str">
        <f t="shared" si="172"/>
        <v>VTE - M.O. ESTHETIQUE CLIENT</v>
      </c>
      <c r="N192" s="655">
        <f>+IF(OR($Q192=Parametres!$G$2,$Q192=Parametres!$G$3),I192,C192)</f>
        <v>-74218.350000000006</v>
      </c>
      <c r="O192" s="655">
        <f>+IF(OR($Q192=Parametres!$G$2,$Q192=Parametres!$G$3),J192,D192)</f>
        <v>-8246.2000000000007</v>
      </c>
      <c r="P192" s="655">
        <f>+IF(OR($Q192=Parametres!$G$2,$Q192=Parametres!$G$3),K192,E192)</f>
        <v>-82464.55</v>
      </c>
      <c r="Q192" s="654" t="str">
        <f t="shared" si="173"/>
        <v>5-Ventes</v>
      </c>
      <c r="R192" s="653" t="str">
        <f t="shared" si="174"/>
        <v>4402</v>
      </c>
      <c r="S192" s="654" t="str">
        <f t="shared" si="175"/>
        <v>_</v>
      </c>
      <c r="T192" s="656" t="str">
        <f>+VLOOKUP($L192,Data_Validation!$A:$D,1,0)</f>
        <v>4402</v>
      </c>
      <c r="U192" s="656" t="str">
        <f>+VLOOKUP($L192,Data_Validation!$A:$D,3,0)</f>
        <v>Service</v>
      </c>
      <c r="V192" s="656" t="str">
        <f>+VLOOKUP($L192,Data_Validation!$A:$D,4,0)</f>
        <v>M/O Esthétique</v>
      </c>
      <c r="W192" s="656" t="str">
        <f>+VLOOKUP($L192,Data_Validation!$A:$E,5,0)</f>
        <v>$</v>
      </c>
      <c r="X192" s="656" t="str">
        <f>+VLOOKUP($L192,Data_Validation!$A:$F,6,0)</f>
        <v>Oui</v>
      </c>
    </row>
    <row r="193" spans="1:24" ht="15" customHeight="1">
      <c r="A193" s="1218" t="s">
        <v>3672</v>
      </c>
      <c r="B193" s="1218" t="s">
        <v>1028</v>
      </c>
      <c r="C193" s="1220">
        <v>-370415.34</v>
      </c>
      <c r="D193" s="1220">
        <v>-68514.11</v>
      </c>
      <c r="E193" s="1220">
        <v>-438929.45</v>
      </c>
      <c r="F193" s="1218" t="s">
        <v>963</v>
      </c>
      <c r="G193" s="1218" t="s">
        <v>1028</v>
      </c>
      <c r="H193" s="1218" t="s">
        <v>3950</v>
      </c>
      <c r="I193" s="651"/>
      <c r="J193" s="651"/>
      <c r="K193" s="670"/>
      <c r="L193" s="653" t="str">
        <f t="shared" si="171"/>
        <v>4403</v>
      </c>
      <c r="M193" s="654" t="str">
        <f t="shared" si="172"/>
        <v>MAIN-D'OEUVRE - GARANTIE VW - MCI</v>
      </c>
      <c r="N193" s="655">
        <f>+IF(OR($Q193=Parametres!$G$2,$Q193=Parametres!$G$3),I193,C193)</f>
        <v>-370415.34</v>
      </c>
      <c r="O193" s="655">
        <f>+IF(OR($Q193=Parametres!$G$2,$Q193=Parametres!$G$3),J193,D193)</f>
        <v>-68514.11</v>
      </c>
      <c r="P193" s="655">
        <f>+IF(OR($Q193=Parametres!$G$2,$Q193=Parametres!$G$3),K193,E193)</f>
        <v>-438929.45</v>
      </c>
      <c r="Q193" s="654" t="str">
        <f t="shared" si="173"/>
        <v>5-Ventes</v>
      </c>
      <c r="R193" s="653" t="str">
        <f t="shared" si="174"/>
        <v>4403</v>
      </c>
      <c r="S193" s="654" t="str">
        <f t="shared" si="175"/>
        <v>_</v>
      </c>
      <c r="T193" s="656" t="str">
        <f>+VLOOKUP($L193,Data_Validation!$A:$D,1,0)</f>
        <v>4403</v>
      </c>
      <c r="U193" s="656" t="str">
        <f>+VLOOKUP($L193,Data_Validation!$A:$D,3,0)</f>
        <v>Service</v>
      </c>
      <c r="V193" s="656" t="str">
        <f>+VLOOKUP($L193,Data_Validation!$A:$D,4,0)</f>
        <v>M/O Garantie</v>
      </c>
      <c r="W193" s="656" t="str">
        <f>+VLOOKUP($L193,Data_Validation!$A:$E,5,0)</f>
        <v>$</v>
      </c>
      <c r="X193" s="656" t="str">
        <f>+VLOOKUP($L193,Data_Validation!$A:$F,6,0)</f>
        <v>Oui</v>
      </c>
    </row>
    <row r="194" spans="1:24" ht="15.75" customHeight="1">
      <c r="A194" s="1218" t="s">
        <v>3673</v>
      </c>
      <c r="B194" s="1218" t="s">
        <v>1031</v>
      </c>
      <c r="C194" s="1220">
        <v>-426242.5</v>
      </c>
      <c r="D194" s="1220">
        <v>-92913.27</v>
      </c>
      <c r="E194" s="1220">
        <v>-519155.77</v>
      </c>
      <c r="F194" s="1218" t="s">
        <v>963</v>
      </c>
      <c r="G194" s="1218" t="s">
        <v>1031</v>
      </c>
      <c r="H194" s="1218" t="s">
        <v>3950</v>
      </c>
      <c r="I194" s="652"/>
      <c r="J194" s="652"/>
      <c r="K194" s="652"/>
      <c r="L194" s="653" t="str">
        <f t="shared" si="171"/>
        <v>4405</v>
      </c>
      <c r="M194" s="654" t="str">
        <f t="shared" si="172"/>
        <v>MAIN-D'OEUVRE - INTERNE VW - MCI</v>
      </c>
      <c r="N194" s="655">
        <f>+IF(OR($Q194=Parametres!$G$2,$Q194=Parametres!$G$3),I194,C194)</f>
        <v>-426242.5</v>
      </c>
      <c r="O194" s="655">
        <f>+IF(OR($Q194=Parametres!$G$2,$Q194=Parametres!$G$3),J194,D194)</f>
        <v>-92913.27</v>
      </c>
      <c r="P194" s="655">
        <f>+IF(OR($Q194=Parametres!$G$2,$Q194=Parametres!$G$3),K194,E194)</f>
        <v>-519155.77</v>
      </c>
      <c r="Q194" s="654" t="str">
        <f t="shared" si="173"/>
        <v>5-Ventes</v>
      </c>
      <c r="R194" s="653" t="str">
        <f t="shared" si="174"/>
        <v>4405</v>
      </c>
      <c r="S194" s="654" t="str">
        <f t="shared" si="175"/>
        <v>_</v>
      </c>
      <c r="T194" s="656" t="str">
        <f>+VLOOKUP($L194,Data_Validation!$A:$D,1,0)</f>
        <v>4405</v>
      </c>
      <c r="U194" s="656" t="str">
        <f>+VLOOKUP($L194,Data_Validation!$A:$D,3,0)</f>
        <v>Service</v>
      </c>
      <c r="V194" s="656" t="str">
        <f>+VLOOKUP($L194,Data_Validation!$A:$D,4,0)</f>
        <v>M/O Interne</v>
      </c>
      <c r="W194" s="656" t="str">
        <f>+VLOOKUP($L194,Data_Validation!$A:$E,5,0)</f>
        <v>$</v>
      </c>
      <c r="X194" s="656" t="str">
        <f>+VLOOKUP($L194,Data_Validation!$A:$F,6,0)</f>
        <v>Oui</v>
      </c>
    </row>
    <row r="195" spans="1:24" ht="15" customHeight="1">
      <c r="A195" s="1218" t="s">
        <v>1033</v>
      </c>
      <c r="B195" s="1218" t="s">
        <v>1974</v>
      </c>
      <c r="C195" s="1220">
        <v>-128037.86</v>
      </c>
      <c r="D195" s="1220">
        <v>-25642.9</v>
      </c>
      <c r="E195" s="1220">
        <v>-153680.76</v>
      </c>
      <c r="F195" s="1218" t="s">
        <v>963</v>
      </c>
      <c r="G195" s="1218" t="s">
        <v>1034</v>
      </c>
      <c r="H195" s="1218" t="s">
        <v>3950</v>
      </c>
      <c r="I195" s="670"/>
      <c r="J195" s="651"/>
      <c r="K195" s="670"/>
      <c r="L195" s="653" t="str">
        <f t="shared" si="171"/>
        <v>4451</v>
      </c>
      <c r="M195" s="654" t="str">
        <f t="shared" si="172"/>
        <v>CARBURANT/HUILE/GRAISSE</v>
      </c>
      <c r="N195" s="655">
        <f>+IF(OR($Q195=Parametres!$G$2,$Q195=Parametres!$G$3),I195,C195)</f>
        <v>-128037.86</v>
      </c>
      <c r="O195" s="655">
        <f>+IF(OR($Q195=Parametres!$G$2,$Q195=Parametres!$G$3),J195,D195)</f>
        <v>-25642.9</v>
      </c>
      <c r="P195" s="655">
        <f>+IF(OR($Q195=Parametres!$G$2,$Q195=Parametres!$G$3),K195,E195)</f>
        <v>-153680.76</v>
      </c>
      <c r="Q195" s="654" t="str">
        <f t="shared" si="173"/>
        <v>5-Ventes</v>
      </c>
      <c r="R195" s="653" t="str">
        <f t="shared" si="174"/>
        <v>4782</v>
      </c>
      <c r="S195" s="654" t="str">
        <f t="shared" si="175"/>
        <v>_</v>
      </c>
      <c r="T195" s="656" t="str">
        <f>+VLOOKUP($L195,Data_Validation!$A:$D,1,0)</f>
        <v>4451</v>
      </c>
      <c r="U195" s="656" t="str">
        <f>+VLOOKUP($L195,Data_Validation!$A:$D,3,0)</f>
        <v>Pièces</v>
      </c>
      <c r="V195" s="656" t="str">
        <f>+VLOOKUP($L195,Data_Validation!$A:$D,4,0)</f>
        <v>Huiles et Graisse</v>
      </c>
      <c r="W195" s="656" t="str">
        <f>+VLOOKUP($L195,Data_Validation!$A:$E,5,0)</f>
        <v>$</v>
      </c>
      <c r="X195" s="656" t="str">
        <f>+VLOOKUP($L195,Data_Validation!$A:$F,6,0)</f>
        <v>Oui</v>
      </c>
    </row>
    <row r="196" spans="1:24" ht="15" customHeight="1">
      <c r="A196" s="1218" t="s">
        <v>1036</v>
      </c>
      <c r="B196" s="1218" t="s">
        <v>1037</v>
      </c>
      <c r="C196" s="1220">
        <v>-35740.15</v>
      </c>
      <c r="D196" s="1220">
        <v>-8548.1</v>
      </c>
      <c r="E196" s="1220">
        <v>-44288.25</v>
      </c>
      <c r="F196" s="1218" t="s">
        <v>963</v>
      </c>
      <c r="G196" s="1218" t="s">
        <v>1037</v>
      </c>
      <c r="H196" s="1218" t="s">
        <v>3950</v>
      </c>
      <c r="I196" s="652"/>
      <c r="J196" s="652"/>
      <c r="K196" s="652"/>
      <c r="L196" s="653" t="str">
        <f t="shared" si="171"/>
        <v>4491</v>
      </c>
      <c r="M196" s="654" t="str">
        <f t="shared" si="172"/>
        <v>REPARATION SOUS-LOC. - GENERAL</v>
      </c>
      <c r="N196" s="655">
        <f>+IF(OR($Q196=Parametres!$G$2,$Q196=Parametres!$G$3),I196,C196)</f>
        <v>-35740.15</v>
      </c>
      <c r="O196" s="655">
        <f>+IF(OR($Q196=Parametres!$G$2,$Q196=Parametres!$G$3),J196,D196)</f>
        <v>-8548.1</v>
      </c>
      <c r="P196" s="655">
        <f>+IF(OR($Q196=Parametres!$G$2,$Q196=Parametres!$G$3),K196,E196)</f>
        <v>-44288.25</v>
      </c>
      <c r="Q196" s="654" t="str">
        <f t="shared" si="173"/>
        <v>5-Ventes</v>
      </c>
      <c r="R196" s="653" t="str">
        <f t="shared" si="174"/>
        <v>4491</v>
      </c>
      <c r="S196" s="654" t="str">
        <f t="shared" si="175"/>
        <v>_</v>
      </c>
      <c r="T196" s="656" t="str">
        <f>+VLOOKUP($L196,Data_Validation!$A:$D,1,0)</f>
        <v>4491</v>
      </c>
      <c r="U196" s="656" t="str">
        <f>+VLOOKUP($L196,Data_Validation!$A:$D,3,0)</f>
        <v>Service</v>
      </c>
      <c r="V196" s="656" t="str">
        <f>+VLOOKUP($L196,Data_Validation!$A:$D,4,0)</f>
        <v>Sous-traitement</v>
      </c>
      <c r="W196" s="656" t="str">
        <f>+VLOOKUP($L196,Data_Validation!$A:$E,5,0)</f>
        <v>$</v>
      </c>
      <c r="X196" s="656" t="str">
        <f>+VLOOKUP($L196,Data_Validation!$A:$F,6,0)</f>
        <v>Oui</v>
      </c>
    </row>
    <row r="197" spans="1:24" ht="15" customHeight="1">
      <c r="A197" s="1218" t="s">
        <v>1039</v>
      </c>
      <c r="B197" s="1218" t="s">
        <v>1040</v>
      </c>
      <c r="C197" s="1220">
        <v>-14980.51</v>
      </c>
      <c r="D197" s="1220">
        <v>-2035.89</v>
      </c>
      <c r="E197" s="1220">
        <v>-17016.400000000001</v>
      </c>
      <c r="F197" s="1218" t="s">
        <v>963</v>
      </c>
      <c r="G197" s="1218" t="s">
        <v>1040</v>
      </c>
      <c r="H197" s="1218" t="s">
        <v>3950</v>
      </c>
      <c r="I197" s="651"/>
      <c r="J197" s="651"/>
      <c r="K197" s="670"/>
      <c r="L197" s="653" t="str">
        <f t="shared" si="171"/>
        <v>4493</v>
      </c>
      <c r="M197" s="654" t="str">
        <f t="shared" si="172"/>
        <v>VTE - SOUS-TRAITANCE GARANTIE</v>
      </c>
      <c r="N197" s="655">
        <f>+IF(OR($Q197=Parametres!$G$2,$Q197=Parametres!$G$3),I197,C197)</f>
        <v>-14980.51</v>
      </c>
      <c r="O197" s="659">
        <f>+IF(OR($Q197=Parametres!$G$2,$Q197=Parametres!$G$3),J197,D197)</f>
        <v>-2035.89</v>
      </c>
      <c r="P197" s="655">
        <f>+IF(OR($Q197=Parametres!$G$2,$Q197=Parametres!$G$3),K197,E197)</f>
        <v>-17016.400000000001</v>
      </c>
      <c r="Q197" s="654" t="str">
        <f t="shared" si="173"/>
        <v>5-Ventes</v>
      </c>
      <c r="R197" s="653" t="str">
        <f t="shared" si="174"/>
        <v>4493</v>
      </c>
      <c r="S197" s="654" t="str">
        <f t="shared" si="175"/>
        <v>_</v>
      </c>
      <c r="T197" s="656" t="str">
        <f>+VLOOKUP($L197,Data_Validation!$A:$D,1,0)</f>
        <v>4493</v>
      </c>
      <c r="U197" s="656" t="str">
        <f>+VLOOKUP($L197,Data_Validation!$A:$D,3,0)</f>
        <v>Service</v>
      </c>
      <c r="V197" s="656" t="str">
        <f>+VLOOKUP($L197,Data_Validation!$A:$D,4,0)</f>
        <v>Sous-traitement</v>
      </c>
      <c r="W197" s="656" t="str">
        <f>+VLOOKUP($L197,Data_Validation!$A:$E,5,0)</f>
        <v>$</v>
      </c>
      <c r="X197" s="656" t="str">
        <f>+VLOOKUP($L197,Data_Validation!$A:$F,6,0)</f>
        <v>Oui</v>
      </c>
    </row>
    <row r="198" spans="1:24" ht="15" customHeight="1">
      <c r="A198" s="1218" t="s">
        <v>1043</v>
      </c>
      <c r="B198" s="1218" t="s">
        <v>1044</v>
      </c>
      <c r="C198" s="1220">
        <v>-58617.34</v>
      </c>
      <c r="D198" s="1220">
        <v>-12151.5</v>
      </c>
      <c r="E198" s="1220">
        <v>-70768.84</v>
      </c>
      <c r="F198" s="1218" t="s">
        <v>963</v>
      </c>
      <c r="G198" s="1218" t="s">
        <v>1044</v>
      </c>
      <c r="H198" s="1218" t="s">
        <v>3950</v>
      </c>
      <c r="I198" s="652"/>
      <c r="J198" s="652"/>
      <c r="K198" s="652"/>
      <c r="L198" s="653" t="str">
        <f t="shared" si="171"/>
        <v>4495</v>
      </c>
      <c r="M198" s="654" t="str">
        <f t="shared" si="172"/>
        <v>VTE - S-TRAITANCE MEC.INTERNE VW</v>
      </c>
      <c r="N198" s="655">
        <f>+IF(OR($Q198=Parametres!$G$2,$Q198=Parametres!$G$3),I198,C198)</f>
        <v>-58617.34</v>
      </c>
      <c r="O198" s="655">
        <f>+IF(OR($Q198=Parametres!$G$2,$Q198=Parametres!$G$3),J198,D198)</f>
        <v>-12151.5</v>
      </c>
      <c r="P198" s="655">
        <f>+IF(OR($Q198=Parametres!$G$2,$Q198=Parametres!$G$3),K198,E198)</f>
        <v>-70768.84</v>
      </c>
      <c r="Q198" s="654" t="str">
        <f t="shared" si="173"/>
        <v>5-Ventes</v>
      </c>
      <c r="R198" s="653" t="str">
        <f t="shared" si="174"/>
        <v>4495</v>
      </c>
      <c r="S198" s="654" t="str">
        <f t="shared" si="175"/>
        <v>_</v>
      </c>
      <c r="T198" s="656" t="str">
        <f>+VLOOKUP($L198,Data_Validation!$A:$D,1,0)</f>
        <v>4495</v>
      </c>
      <c r="U198" s="656" t="str">
        <f>+VLOOKUP($L198,Data_Validation!$A:$D,3,0)</f>
        <v>Service</v>
      </c>
      <c r="V198" s="656" t="str">
        <f>+VLOOKUP($L198,Data_Validation!$A:$D,4,0)</f>
        <v>Sous-traitement</v>
      </c>
      <c r="W198" s="656" t="str">
        <f>+VLOOKUP($L198,Data_Validation!$A:$E,5,0)</f>
        <v>$</v>
      </c>
      <c r="X198" s="656" t="str">
        <f>+VLOOKUP($L198,Data_Validation!$A:$F,6,0)</f>
        <v>Oui</v>
      </c>
    </row>
    <row r="199" spans="1:24" ht="15.75" customHeight="1">
      <c r="A199" s="1218" t="s">
        <v>3426</v>
      </c>
      <c r="B199" s="1218" t="s">
        <v>3427</v>
      </c>
      <c r="C199" s="1220">
        <v>-58709.05</v>
      </c>
      <c r="D199" s="1220">
        <v>-8810.2999999999993</v>
      </c>
      <c r="E199" s="1220">
        <v>-67519.350000000006</v>
      </c>
      <c r="F199" s="1218" t="s">
        <v>963</v>
      </c>
      <c r="G199" s="1218" t="s">
        <v>3427</v>
      </c>
      <c r="H199" s="1218" t="s">
        <v>3950</v>
      </c>
      <c r="I199" s="670"/>
      <c r="J199" s="651"/>
      <c r="K199" s="670"/>
      <c r="L199" s="653" t="str">
        <f t="shared" si="171"/>
        <v>4505</v>
      </c>
      <c r="M199" s="654" t="str">
        <f t="shared" si="172"/>
        <v>VTE - M.O. INTERNE CARROSSERIE</v>
      </c>
      <c r="N199" s="655">
        <f>+IF(OR($Q199=Parametres!$G$2,$Q199=Parametres!$G$3),I199,C199)</f>
        <v>-58709.05</v>
      </c>
      <c r="O199" s="655">
        <f>+IF(OR($Q199=Parametres!$G$2,$Q199=Parametres!$G$3),J199,D199)</f>
        <v>-8810.2999999999993</v>
      </c>
      <c r="P199" s="655">
        <f>+IF(OR($Q199=Parametres!$G$2,$Q199=Parametres!$G$3),K199,E199)</f>
        <v>-67519.350000000006</v>
      </c>
      <c r="Q199" s="654" t="str">
        <f t="shared" si="173"/>
        <v>5-Ventes</v>
      </c>
      <c r="R199" s="653" t="str">
        <f t="shared" si="174"/>
        <v>4505</v>
      </c>
      <c r="S199" s="654" t="str">
        <f t="shared" si="175"/>
        <v>_</v>
      </c>
      <c r="T199" s="656" t="str">
        <f>+VLOOKUP($L199,Data_Validation!$A:$D,1,0)</f>
        <v>4505</v>
      </c>
      <c r="U199" s="656" t="str">
        <f>+VLOOKUP($L199,Data_Validation!$A:$D,3,0)</f>
        <v>Service</v>
      </c>
      <c r="V199" s="656" t="str">
        <f>+VLOOKUP($L199,Data_Validation!$A:$D,4,0)</f>
        <v>M.O. Recond. MCPA</v>
      </c>
      <c r="W199" s="656" t="str">
        <f>+VLOOKUP($L199,Data_Validation!$A:$E,5,0)</f>
        <v>$</v>
      </c>
      <c r="X199" s="656" t="str">
        <f>+VLOOKUP($L199,Data_Validation!$A:$F,6,0)</f>
        <v>Oui</v>
      </c>
    </row>
    <row r="200" spans="1:24" ht="15" customHeight="1">
      <c r="A200" s="1218" t="s">
        <v>1050</v>
      </c>
      <c r="B200" s="1218" t="s">
        <v>1051</v>
      </c>
      <c r="C200" s="1220">
        <v>-25000.26</v>
      </c>
      <c r="D200" s="1220">
        <v>-9648.56</v>
      </c>
      <c r="E200" s="1220">
        <v>-34648.82</v>
      </c>
      <c r="F200" s="1218" t="s">
        <v>963</v>
      </c>
      <c r="G200" s="1218" t="s">
        <v>1051</v>
      </c>
      <c r="H200" s="1218" t="s">
        <v>3950</v>
      </c>
      <c r="I200" s="652"/>
      <c r="J200" s="652"/>
      <c r="K200" s="652"/>
      <c r="L200" s="653" t="str">
        <f t="shared" si="171"/>
        <v>4591</v>
      </c>
      <c r="M200" s="654" t="str">
        <f t="shared" si="172"/>
        <v>VTE - S-TRAIT. CARR.</v>
      </c>
      <c r="N200" s="655">
        <f>+IF(OR($Q200=Parametres!$G$2,$Q200=Parametres!$G$3),I200,C200)</f>
        <v>-25000.26</v>
      </c>
      <c r="O200" s="655">
        <f>+IF(OR($Q200=Parametres!$G$2,$Q200=Parametres!$G$3),J200,D200)</f>
        <v>-9648.56</v>
      </c>
      <c r="P200" s="655">
        <f>+IF(OR($Q200=Parametres!$G$2,$Q200=Parametres!$G$3),K200,E200)</f>
        <v>-34648.82</v>
      </c>
      <c r="Q200" s="654" t="str">
        <f t="shared" si="173"/>
        <v>5-Ventes</v>
      </c>
      <c r="R200" s="653" t="str">
        <f t="shared" si="174"/>
        <v>4591</v>
      </c>
      <c r="S200" s="654" t="str">
        <f t="shared" si="175"/>
        <v>_</v>
      </c>
      <c r="T200" s="656" t="str">
        <f>+VLOOKUP($L200,Data_Validation!$A:$D,1,0)</f>
        <v>4591</v>
      </c>
      <c r="U200" s="656" t="str">
        <f>+VLOOKUP($L200,Data_Validation!$A:$D,3,0)</f>
        <v>Carrosserie</v>
      </c>
      <c r="V200" s="656" t="str">
        <f>+VLOOKUP($L200,Data_Validation!$A:$D,4,0)</f>
        <v>M/O Sous-traitement</v>
      </c>
      <c r="W200" s="656" t="str">
        <f>+VLOOKUP($L200,Data_Validation!$A:$E,5,0)</f>
        <v>$</v>
      </c>
      <c r="X200" s="656" t="str">
        <f>+VLOOKUP($L200,Data_Validation!$A:$F,6,0)</f>
        <v>Oui</v>
      </c>
    </row>
    <row r="201" spans="1:24" ht="15" customHeight="1">
      <c r="A201" s="1218" t="s">
        <v>1054</v>
      </c>
      <c r="B201" s="1218" t="s">
        <v>1055</v>
      </c>
      <c r="C201" s="1220">
        <v>-61223.43</v>
      </c>
      <c r="D201" s="1220">
        <v>-40968.51</v>
      </c>
      <c r="E201" s="1220">
        <v>-102191.94</v>
      </c>
      <c r="F201" s="1218" t="s">
        <v>963</v>
      </c>
      <c r="G201" s="1218" t="s">
        <v>1055</v>
      </c>
      <c r="H201" s="1218" t="s">
        <v>3950</v>
      </c>
      <c r="I201" s="652"/>
      <c r="J201" s="652"/>
      <c r="K201" s="652"/>
      <c r="L201" s="653" t="str">
        <f t="shared" si="171"/>
        <v>4593</v>
      </c>
      <c r="M201" s="654" t="str">
        <f t="shared" si="172"/>
        <v>VTE - SOUS-TRAITANCE GARANTIE CARR.</v>
      </c>
      <c r="N201" s="655">
        <f>+IF(OR($Q201=Parametres!$G$2,$Q201=Parametres!$G$3),I201,C201)</f>
        <v>-61223.43</v>
      </c>
      <c r="O201" s="655">
        <f>+IF(OR($Q201=Parametres!$G$2,$Q201=Parametres!$G$3),J201,D201)</f>
        <v>-40968.51</v>
      </c>
      <c r="P201" s="655">
        <f>+IF(OR($Q201=Parametres!$G$2,$Q201=Parametres!$G$3),K201,E201)</f>
        <v>-102191.94</v>
      </c>
      <c r="Q201" s="654" t="str">
        <f t="shared" si="173"/>
        <v>5-Ventes</v>
      </c>
      <c r="R201" s="653" t="str">
        <f t="shared" si="174"/>
        <v>4593</v>
      </c>
      <c r="S201" s="654" t="str">
        <f t="shared" si="175"/>
        <v>_</v>
      </c>
      <c r="T201" s="656" t="str">
        <f>+VLOOKUP($L201,Data_Validation!$A:$D,1,0)</f>
        <v>4593</v>
      </c>
      <c r="U201" s="656" t="str">
        <f>+VLOOKUP($L201,Data_Validation!$A:$D,3,0)</f>
        <v>Carrosserie</v>
      </c>
      <c r="V201" s="656" t="str">
        <f>+VLOOKUP($L201,Data_Validation!$A:$D,4,0)</f>
        <v>M/O Sous-traitement</v>
      </c>
      <c r="W201" s="656" t="str">
        <f>+VLOOKUP($L201,Data_Validation!$A:$E,5,0)</f>
        <v>$</v>
      </c>
      <c r="X201" s="656" t="str">
        <f>+VLOOKUP($L201,Data_Validation!$A:$F,6,0)</f>
        <v>Oui</v>
      </c>
    </row>
    <row r="202" spans="1:24" ht="15" customHeight="1">
      <c r="A202" s="1218" t="s">
        <v>1058</v>
      </c>
      <c r="B202" s="1218" t="s">
        <v>1059</v>
      </c>
      <c r="C202" s="1220">
        <v>-4740.22</v>
      </c>
      <c r="D202" s="1220">
        <v>0</v>
      </c>
      <c r="E202" s="1220">
        <v>-4740.22</v>
      </c>
      <c r="F202" s="1218" t="s">
        <v>963</v>
      </c>
      <c r="G202" s="1218" t="s">
        <v>1059</v>
      </c>
      <c r="H202" s="1218" t="s">
        <v>3950</v>
      </c>
      <c r="I202" s="652"/>
      <c r="J202" s="652"/>
      <c r="K202" s="652"/>
      <c r="L202" s="653" t="str">
        <f t="shared" si="171"/>
        <v>4595</v>
      </c>
      <c r="M202" s="654" t="str">
        <f t="shared" si="172"/>
        <v>VTE - SOUS-TRAITANCE INTERNE CARR.</v>
      </c>
      <c r="N202" s="655">
        <f>+IF(OR($Q202=Parametres!$G$2,$Q202=Parametres!$G$3),I202,C202)</f>
        <v>-4740.22</v>
      </c>
      <c r="O202" s="655">
        <f>+IF(OR($Q202=Parametres!$G$2,$Q202=Parametres!$G$3),J202,D202)</f>
        <v>0</v>
      </c>
      <c r="P202" s="655">
        <f>+IF(OR($Q202=Parametres!$G$2,$Q202=Parametres!$G$3),K202,E202)</f>
        <v>-4740.22</v>
      </c>
      <c r="Q202" s="654" t="str">
        <f t="shared" si="173"/>
        <v>5-Ventes</v>
      </c>
      <c r="R202" s="653" t="str">
        <f t="shared" si="174"/>
        <v>4595</v>
      </c>
      <c r="S202" s="654" t="str">
        <f t="shared" si="175"/>
        <v>_</v>
      </c>
      <c r="T202" s="656" t="str">
        <f>+VLOOKUP($L202,Data_Validation!$A:$D,1,0)</f>
        <v>4595</v>
      </c>
      <c r="U202" s="656" t="str">
        <f>+VLOOKUP($L202,Data_Validation!$A:$D,3,0)</f>
        <v>Carrosserie</v>
      </c>
      <c r="V202" s="656" t="str">
        <f>+VLOOKUP($L202,Data_Validation!$A:$D,4,0)</f>
        <v>M/O Sous-traitement</v>
      </c>
      <c r="W202" s="656" t="str">
        <f>+VLOOKUP($L202,Data_Validation!$A:$E,5,0)</f>
        <v>$</v>
      </c>
      <c r="X202" s="656" t="str">
        <f>+VLOOKUP($L202,Data_Validation!$A:$F,6,0)</f>
        <v>Oui</v>
      </c>
    </row>
    <row r="203" spans="1:24" ht="15" customHeight="1">
      <c r="A203" s="1218" t="s">
        <v>3674</v>
      </c>
      <c r="B203" s="1218" t="s">
        <v>1063</v>
      </c>
      <c r="C203" s="1220">
        <v>-463968.2</v>
      </c>
      <c r="D203" s="1220">
        <v>-83538.45</v>
      </c>
      <c r="E203" s="1220">
        <v>-547506.65</v>
      </c>
      <c r="F203" s="1218" t="s">
        <v>963</v>
      </c>
      <c r="G203" s="1218" t="s">
        <v>1063</v>
      </c>
      <c r="H203" s="1218" t="s">
        <v>3950</v>
      </c>
      <c r="I203" s="660"/>
      <c r="J203" s="660"/>
      <c r="K203" s="660"/>
      <c r="L203" s="653" t="str">
        <f t="shared" si="171"/>
        <v>4701</v>
      </c>
      <c r="M203" s="654" t="str">
        <f t="shared" si="172"/>
        <v>VW P&amp;A - BR - CLIENT - MCI</v>
      </c>
      <c r="N203" s="655">
        <f>+IF(OR($Q203=Parametres!$G$2,$Q203=Parametres!$G$3),I203,C203)</f>
        <v>-463968.2</v>
      </c>
      <c r="O203" s="655">
        <f>+IF(OR($Q203=Parametres!$G$2,$Q203=Parametres!$G$3),J203,D203)</f>
        <v>-83538.45</v>
      </c>
      <c r="P203" s="655">
        <f>+IF(OR($Q203=Parametres!$G$2,$Q203=Parametres!$G$3),K203,E203)</f>
        <v>-547506.65</v>
      </c>
      <c r="Q203" s="654" t="str">
        <f t="shared" si="173"/>
        <v>5-Ventes</v>
      </c>
      <c r="R203" s="653" t="str">
        <f t="shared" si="174"/>
        <v>4701</v>
      </c>
      <c r="S203" s="654" t="str">
        <f t="shared" si="175"/>
        <v>_</v>
      </c>
      <c r="T203" s="656" t="str">
        <f>+VLOOKUP($L203,Data_Validation!$A:$D,1,0)</f>
        <v>4701</v>
      </c>
      <c r="U203" s="656" t="str">
        <f>+VLOOKUP($L203,Data_Validation!$A:$D,3,0)</f>
        <v>Pièces</v>
      </c>
      <c r="V203" s="656" t="str">
        <f>+VLOOKUP($L203,Data_Validation!$A:$D,4,0)</f>
        <v>Pièces Ro Clients</v>
      </c>
      <c r="W203" s="656" t="str">
        <f>+VLOOKUP($L203,Data_Validation!$A:$E,5,0)</f>
        <v>$</v>
      </c>
      <c r="X203" s="656" t="str">
        <f>+VLOOKUP($L203,Data_Validation!$A:$F,6,0)</f>
        <v>Oui</v>
      </c>
    </row>
    <row r="204" spans="1:24" ht="15" customHeight="1">
      <c r="A204" s="1218" t="s">
        <v>1066</v>
      </c>
      <c r="B204" s="1218" t="s">
        <v>1067</v>
      </c>
      <c r="C204" s="1220">
        <v>-3985.25</v>
      </c>
      <c r="D204" s="1220">
        <v>-640.85</v>
      </c>
      <c r="E204" s="1220">
        <v>-4626.1000000000004</v>
      </c>
      <c r="F204" s="1218" t="s">
        <v>963</v>
      </c>
      <c r="G204" s="1218" t="s">
        <v>1067</v>
      </c>
      <c r="H204" s="1218" t="s">
        <v>3950</v>
      </c>
      <c r="I204" s="652"/>
      <c r="J204" s="652"/>
      <c r="K204" s="652"/>
      <c r="L204" s="653" t="str">
        <f t="shared" si="171"/>
        <v>4702</v>
      </c>
      <c r="M204" s="654" t="str">
        <f t="shared" si="172"/>
        <v>VTE - SHOP SUPPLY VW</v>
      </c>
      <c r="N204" s="655">
        <f>+IF(OR($Q204=Parametres!$G$2,$Q204=Parametres!$G$3),I204,C204)</f>
        <v>-3985.25</v>
      </c>
      <c r="O204" s="659">
        <f>+IF(OR($Q204=Parametres!$G$2,$Q204=Parametres!$G$3),J204,D204)</f>
        <v>-640.85</v>
      </c>
      <c r="P204" s="655">
        <f>+IF(OR($Q204=Parametres!$G$2,$Q204=Parametres!$G$3),K204,E204)</f>
        <v>-4626.1000000000004</v>
      </c>
      <c r="Q204" s="654" t="str">
        <f t="shared" si="173"/>
        <v>5-Ventes</v>
      </c>
      <c r="R204" s="653" t="str">
        <f t="shared" si="174"/>
        <v>4702</v>
      </c>
      <c r="S204" s="654" t="str">
        <f t="shared" si="175"/>
        <v>_</v>
      </c>
      <c r="T204" s="656" t="str">
        <f>+VLOOKUP($L204,Data_Validation!$A:$D,1,0)</f>
        <v>4702</v>
      </c>
      <c r="U204" s="656" t="str">
        <f>+VLOOKUP($L204,Data_Validation!$A:$D,3,0)</f>
        <v>Service</v>
      </c>
      <c r="V204" s="656" t="str">
        <f>+VLOOKUP($L204,Data_Validation!$A:$D,4,0)</f>
        <v>M/O Client</v>
      </c>
      <c r="W204" s="656" t="str">
        <f>+VLOOKUP($L204,Data_Validation!$A:$E,5,0)</f>
        <v>$</v>
      </c>
      <c r="X204" s="656" t="str">
        <f>+VLOOKUP($L204,Data_Validation!$A:$F,6,0)</f>
        <v>Oui</v>
      </c>
    </row>
    <row r="205" spans="1:24" ht="15" customHeight="1">
      <c r="A205" s="1218" t="s">
        <v>3675</v>
      </c>
      <c r="B205" s="1218" t="s">
        <v>1069</v>
      </c>
      <c r="C205" s="1220">
        <v>-519575.7</v>
      </c>
      <c r="D205" s="1220">
        <v>-95506.71</v>
      </c>
      <c r="E205" s="1220">
        <v>-615082.41</v>
      </c>
      <c r="F205" s="1218" t="s">
        <v>963</v>
      </c>
      <c r="G205" s="1218" t="s">
        <v>1069</v>
      </c>
      <c r="H205" s="1218" t="s">
        <v>3950</v>
      </c>
      <c r="I205" s="670"/>
      <c r="J205" s="651"/>
      <c r="K205" s="670"/>
      <c r="L205" s="653" t="str">
        <f t="shared" si="171"/>
        <v>4703</v>
      </c>
      <c r="M205" s="654" t="str">
        <f t="shared" si="172"/>
        <v>VW P&amp;A - BR - GARANTIE - MCI</v>
      </c>
      <c r="N205" s="655">
        <f>+IF(OR($Q205=Parametres!$G$2,$Q205=Parametres!$G$3),I205,C205)</f>
        <v>-519575.7</v>
      </c>
      <c r="O205" s="655">
        <f>+IF(OR($Q205=Parametres!$G$2,$Q205=Parametres!$G$3),J205,D205)</f>
        <v>-95506.71</v>
      </c>
      <c r="P205" s="655">
        <f>+IF(OR($Q205=Parametres!$G$2,$Q205=Parametres!$G$3),K205,E205)</f>
        <v>-615082.41</v>
      </c>
      <c r="Q205" s="654" t="str">
        <f t="shared" si="173"/>
        <v>5-Ventes</v>
      </c>
      <c r="R205" s="653" t="str">
        <f t="shared" si="174"/>
        <v>4703</v>
      </c>
      <c r="S205" s="654" t="str">
        <f t="shared" si="175"/>
        <v>_</v>
      </c>
      <c r="T205" s="671" t="str">
        <f>+VLOOKUP($L205,Data_Validation!$A:$D,1,0)</f>
        <v>4703</v>
      </c>
      <c r="U205" s="656" t="str">
        <f>+VLOOKUP($L205,Data_Validation!$A:$D,3,0)</f>
        <v>Pièces</v>
      </c>
      <c r="V205" s="656" t="str">
        <f>+VLOOKUP($L205,Data_Validation!$A:$D,4,0)</f>
        <v>P/A Garantie</v>
      </c>
      <c r="W205" s="656" t="str">
        <f>+VLOOKUP($L205,Data_Validation!$A:$E,5,0)</f>
        <v>$</v>
      </c>
      <c r="X205" s="656" t="str">
        <f>+VLOOKUP($L205,Data_Validation!$A:$F,6,0)</f>
        <v>Oui</v>
      </c>
    </row>
    <row r="206" spans="1:24" ht="15.75" customHeight="1">
      <c r="A206" s="1218" t="s">
        <v>3951</v>
      </c>
      <c r="B206" s="1218" t="s">
        <v>3417</v>
      </c>
      <c r="C206" s="1220">
        <v>-13.17</v>
      </c>
      <c r="D206" s="1220">
        <v>0</v>
      </c>
      <c r="E206" s="1220">
        <v>-13.17</v>
      </c>
      <c r="F206" s="1218" t="s">
        <v>963</v>
      </c>
      <c r="G206" s="1218" t="s">
        <v>3417</v>
      </c>
      <c r="H206" s="1218" t="s">
        <v>3950</v>
      </c>
      <c r="I206" s="652"/>
      <c r="J206" s="652"/>
      <c r="K206" s="652"/>
      <c r="L206" s="653" t="str">
        <f t="shared" si="171"/>
        <v>4704</v>
      </c>
      <c r="M206" s="654" t="str">
        <f t="shared" si="172"/>
        <v>VW P&amp;A SVC BR - SVC RAPIDE - CLIENT - MCI</v>
      </c>
      <c r="N206" s="655">
        <f>+IF(OR($Q206=Parametres!$G$2,$Q206=Parametres!$G$3),I206,C206)</f>
        <v>-13.17</v>
      </c>
      <c r="O206" s="655">
        <f>+IF(OR($Q206=Parametres!$G$2,$Q206=Parametres!$G$3),J206,D206)</f>
        <v>0</v>
      </c>
      <c r="P206" s="655">
        <f>+IF(OR($Q206=Parametres!$G$2,$Q206=Parametres!$G$3),K206,E206)</f>
        <v>-13.17</v>
      </c>
      <c r="Q206" s="654" t="str">
        <f t="shared" si="173"/>
        <v>5-Ventes</v>
      </c>
      <c r="R206" s="653" t="str">
        <f t="shared" si="174"/>
        <v>4704</v>
      </c>
      <c r="S206" s="654" t="str">
        <f t="shared" si="175"/>
        <v>_</v>
      </c>
      <c r="T206" s="656" t="str">
        <f>+VLOOKUP($L206,Data_Validation!$A:$D,1,0)</f>
        <v>4704</v>
      </c>
      <c r="U206" s="656" t="str">
        <f>+VLOOKUP($L206,Data_Validation!$A:$D,3,0)</f>
        <v>Service</v>
      </c>
      <c r="V206" s="656" t="str">
        <f>+VLOOKUP($L206,Data_Validation!$A:$D,4,0)</f>
        <v>M/O Interne</v>
      </c>
      <c r="W206" s="656" t="str">
        <f>+VLOOKUP($L206,Data_Validation!$A:$E,5,0)</f>
        <v>$</v>
      </c>
      <c r="X206" s="656" t="str">
        <f>+VLOOKUP($L206,Data_Validation!$A:$F,6,0)</f>
        <v>Oui</v>
      </c>
    </row>
    <row r="207" spans="1:24" ht="15" customHeight="1">
      <c r="A207" s="1218" t="s">
        <v>3676</v>
      </c>
      <c r="B207" s="1218" t="s">
        <v>1073</v>
      </c>
      <c r="C207" s="1220">
        <v>-366152.71</v>
      </c>
      <c r="D207" s="1220">
        <v>-73676.91</v>
      </c>
      <c r="E207" s="1220">
        <v>-439829.62</v>
      </c>
      <c r="F207" s="1218" t="s">
        <v>963</v>
      </c>
      <c r="G207" s="1218" t="s">
        <v>1073</v>
      </c>
      <c r="H207" s="1218" t="s">
        <v>3950</v>
      </c>
      <c r="I207" s="670"/>
      <c r="J207" s="651"/>
      <c r="K207" s="670"/>
      <c r="L207" s="653" t="str">
        <f t="shared" si="171"/>
        <v>4705</v>
      </c>
      <c r="M207" s="654" t="str">
        <f t="shared" si="172"/>
        <v>VW P&amp;A - BR - INTERNE - MCI</v>
      </c>
      <c r="N207" s="655">
        <f>+IF(OR($Q207=Parametres!$G$2,$Q207=Parametres!$G$3),I207,C207)</f>
        <v>-366152.71</v>
      </c>
      <c r="O207" s="659">
        <f>+IF(OR($Q207=Parametres!$G$2,$Q207=Parametres!$G$3),J207,D207)</f>
        <v>-73676.91</v>
      </c>
      <c r="P207" s="655">
        <f>+IF(OR($Q207=Parametres!$G$2,$Q207=Parametres!$G$3),K207,E207)</f>
        <v>-439829.62</v>
      </c>
      <c r="Q207" s="654" t="str">
        <f t="shared" si="173"/>
        <v>5-Ventes</v>
      </c>
      <c r="R207" s="653" t="str">
        <f t="shared" si="174"/>
        <v>4705</v>
      </c>
      <c r="S207" s="654" t="str">
        <f t="shared" si="175"/>
        <v>_</v>
      </c>
      <c r="T207" s="656" t="str">
        <f>+VLOOKUP($L207,Data_Validation!$A:$D,1,0)</f>
        <v>4705</v>
      </c>
      <c r="U207" s="656" t="str">
        <f>+VLOOKUP($L207,Data_Validation!$A:$D,3,0)</f>
        <v>Pièces</v>
      </c>
      <c r="V207" s="656" t="str">
        <f>+VLOOKUP($L207,Data_Validation!$A:$D,4,0)</f>
        <v>Ventes Internes</v>
      </c>
      <c r="W207" s="656" t="str">
        <f>+VLOOKUP($L207,Data_Validation!$A:$E,5,0)</f>
        <v>$</v>
      </c>
      <c r="X207" s="656" t="str">
        <f>+VLOOKUP($L207,Data_Validation!$A:$F,6,0)</f>
        <v>Oui</v>
      </c>
    </row>
    <row r="208" spans="1:24" ht="15" customHeight="1">
      <c r="A208" s="1218" t="s">
        <v>3677</v>
      </c>
      <c r="B208" s="1218" t="s">
        <v>1076</v>
      </c>
      <c r="C208" s="1220">
        <v>-1014.04</v>
      </c>
      <c r="D208" s="1220">
        <v>-239.85</v>
      </c>
      <c r="E208" s="1220">
        <v>-1253.8900000000001</v>
      </c>
      <c r="F208" s="1218" t="s">
        <v>963</v>
      </c>
      <c r="G208" s="1218" t="s">
        <v>1076</v>
      </c>
      <c r="H208" s="1218" t="s">
        <v>3950</v>
      </c>
      <c r="I208" s="652"/>
      <c r="J208" s="652"/>
      <c r="K208" s="652"/>
      <c r="L208" s="653" t="str">
        <f t="shared" si="171"/>
        <v>4706</v>
      </c>
      <c r="M208" s="654" t="str">
        <f t="shared" si="172"/>
        <v>VW P&amp;A - BR - CLIENT - VEB</v>
      </c>
      <c r="N208" s="655">
        <f>+IF(OR($Q208=Parametres!$G$2,$Q208=Parametres!$G$3),I208,C208)</f>
        <v>-1014.04</v>
      </c>
      <c r="O208" s="655">
        <f>+IF(OR($Q208=Parametres!$G$2,$Q208=Parametres!$G$3),J208,D208)</f>
        <v>-239.85</v>
      </c>
      <c r="P208" s="655">
        <f>+IF(OR($Q208=Parametres!$G$2,$Q208=Parametres!$G$3),K208,E208)</f>
        <v>-1253.8900000000001</v>
      </c>
      <c r="Q208" s="654" t="str">
        <f t="shared" si="173"/>
        <v>5-Ventes</v>
      </c>
      <c r="R208" s="653" t="str">
        <f t="shared" si="174"/>
        <v>4706</v>
      </c>
      <c r="S208" s="654" t="str">
        <f t="shared" si="175"/>
        <v>_</v>
      </c>
      <c r="T208" s="656" t="str">
        <f>+VLOOKUP($L208,Data_Validation!$A:$D,1,0)</f>
        <v>4706</v>
      </c>
      <c r="U208" s="656" t="str">
        <f>+VLOOKUP($L208,Data_Validation!$A:$D,3,0)</f>
        <v>Service</v>
      </c>
      <c r="V208" s="656" t="str">
        <f>+VLOOKUP($L208,Data_Validation!$A:$D,4,0)</f>
        <v>M/O Interne</v>
      </c>
      <c r="W208" s="656" t="str">
        <f>+VLOOKUP($L208,Data_Validation!$A:$E,5,0)</f>
        <v>$</v>
      </c>
      <c r="X208" s="656" t="str">
        <f>+VLOOKUP($L208,Data_Validation!$A:$F,6,0)</f>
        <v>Oui</v>
      </c>
    </row>
    <row r="209" spans="1:24" ht="15" customHeight="1">
      <c r="A209" s="1218" t="s">
        <v>1077</v>
      </c>
      <c r="B209" s="1218" t="s">
        <v>1142</v>
      </c>
      <c r="C209" s="1220">
        <v>-24159.23</v>
      </c>
      <c r="D209" s="1220">
        <v>-3520.31</v>
      </c>
      <c r="E209" s="1220">
        <v>-27679.54</v>
      </c>
      <c r="F209" s="1218" t="s">
        <v>963</v>
      </c>
      <c r="G209" s="1218" t="s">
        <v>1078</v>
      </c>
      <c r="H209" s="1218" t="s">
        <v>3950</v>
      </c>
      <c r="I209" s="670"/>
      <c r="J209" s="651"/>
      <c r="K209" s="670"/>
      <c r="L209" s="653" t="str">
        <f t="shared" si="171"/>
        <v>4711</v>
      </c>
      <c r="M209" s="654" t="str">
        <f t="shared" si="172"/>
        <v>VTE - AUTRE PIECE/ACC/CARR B.R. CLIENT</v>
      </c>
      <c r="N209" s="655">
        <f>+IF(OR($Q209=Parametres!$G$2,$Q209=Parametres!$G$3),I209,C209)</f>
        <v>-24159.23</v>
      </c>
      <c r="O209" s="655">
        <f>+IF(OR($Q209=Parametres!$G$2,$Q209=Parametres!$G$3),J209,D209)</f>
        <v>-3520.31</v>
      </c>
      <c r="P209" s="655">
        <f>+IF(OR($Q209=Parametres!$G$2,$Q209=Parametres!$G$3),K209,E209)</f>
        <v>-27679.54</v>
      </c>
      <c r="Q209" s="654" t="str">
        <f t="shared" si="173"/>
        <v>5-Ventes</v>
      </c>
      <c r="R209" s="653" t="str">
        <f t="shared" si="174"/>
        <v>84711</v>
      </c>
      <c r="S209" s="654" t="str">
        <f t="shared" si="175"/>
        <v>_</v>
      </c>
      <c r="T209" s="671" t="str">
        <f>+VLOOKUP($L209,Data_Validation!$A:$D,1,0)</f>
        <v>4711</v>
      </c>
      <c r="U209" s="656" t="str">
        <f>+VLOOKUP($L209,Data_Validation!$A:$D,3,0)</f>
        <v>Pièces</v>
      </c>
      <c r="V209" s="656" t="str">
        <f>+VLOOKUP($L209,Data_Validation!$A:$D,4,0)</f>
        <v>Pièces Ro Clients</v>
      </c>
      <c r="W209" s="656" t="str">
        <f>+VLOOKUP($L209,Data_Validation!$A:$E,5,0)</f>
        <v>$</v>
      </c>
      <c r="X209" s="656" t="str">
        <f>+VLOOKUP($L209,Data_Validation!$A:$F,6,0)</f>
        <v>Oui</v>
      </c>
    </row>
    <row r="210" spans="1:24" ht="15" customHeight="1">
      <c r="A210" s="1218" t="s">
        <v>3678</v>
      </c>
      <c r="B210" s="1218" t="s">
        <v>1086</v>
      </c>
      <c r="C210" s="1220">
        <v>-1365.95</v>
      </c>
      <c r="D210" s="1220">
        <v>0</v>
      </c>
      <c r="E210" s="1220">
        <v>-1365.95</v>
      </c>
      <c r="F210" s="1218" t="s">
        <v>963</v>
      </c>
      <c r="G210" s="1218" t="s">
        <v>1086</v>
      </c>
      <c r="H210" s="1218" t="s">
        <v>3950</v>
      </c>
      <c r="I210" s="652"/>
      <c r="J210" s="652"/>
      <c r="K210" s="652"/>
      <c r="L210" s="653" t="str">
        <f t="shared" si="171"/>
        <v>4731</v>
      </c>
      <c r="M210" s="654" t="str">
        <f t="shared" si="172"/>
        <v>VW-P&amp;A-P&amp;BRO-CLIENT - MCI</v>
      </c>
      <c r="N210" s="655">
        <f>+IF(OR($Q210=Parametres!$G$2,$Q210=Parametres!$G$3),I210,C210)</f>
        <v>-1365.95</v>
      </c>
      <c r="O210" s="659">
        <f>+IF(OR($Q210=Parametres!$G$2,$Q210=Parametres!$G$3),J210,D210)</f>
        <v>0</v>
      </c>
      <c r="P210" s="655">
        <f>+IF(OR($Q210=Parametres!$G$2,$Q210=Parametres!$G$3),K210,E210)</f>
        <v>-1365.95</v>
      </c>
      <c r="Q210" s="654" t="str">
        <f t="shared" si="173"/>
        <v>5-Ventes</v>
      </c>
      <c r="R210" s="653" t="str">
        <f t="shared" si="174"/>
        <v>4731</v>
      </c>
      <c r="S210" s="654" t="str">
        <f t="shared" si="175"/>
        <v>_</v>
      </c>
      <c r="T210" s="656" t="str">
        <f>+VLOOKUP($L210,Data_Validation!$A:$D,1,0)</f>
        <v>4731</v>
      </c>
      <c r="U210" s="656" t="str">
        <f>+VLOOKUP($L210,Data_Validation!$A:$D,3,0)</f>
        <v>Pièces</v>
      </c>
      <c r="V210" s="656" t="str">
        <f>+VLOOKUP($L210,Data_Validation!$A:$D,4,0)</f>
        <v>Pièces Ro Carrosserie</v>
      </c>
      <c r="W210" s="656" t="str">
        <f>+VLOOKUP($L210,Data_Validation!$A:$E,5,0)</f>
        <v>$</v>
      </c>
      <c r="X210" s="656" t="str">
        <f>+VLOOKUP($L210,Data_Validation!$A:$F,6,0)</f>
        <v>Oui</v>
      </c>
    </row>
    <row r="211" spans="1:24" ht="15.75" customHeight="1">
      <c r="A211" s="1218" t="s">
        <v>3679</v>
      </c>
      <c r="B211" s="1218" t="s">
        <v>1090</v>
      </c>
      <c r="C211" s="1220">
        <v>-29139.71</v>
      </c>
      <c r="D211" s="1220">
        <v>-18886.29</v>
      </c>
      <c r="E211" s="1220">
        <v>-48026</v>
      </c>
      <c r="F211" s="1218" t="s">
        <v>963</v>
      </c>
      <c r="G211" s="1218" t="s">
        <v>1090</v>
      </c>
      <c r="H211" s="1218" t="s">
        <v>3950</v>
      </c>
      <c r="I211" s="670"/>
      <c r="J211" s="651"/>
      <c r="K211" s="670"/>
      <c r="L211" s="653" t="str">
        <f t="shared" si="171"/>
        <v>4733</v>
      </c>
      <c r="M211" s="654" t="str">
        <f t="shared" si="172"/>
        <v>VW-P&amp;A-P&amp;BRO-GARANTIE - MCI</v>
      </c>
      <c r="N211" s="655">
        <f>+IF(OR($Q211=Parametres!$G$2,$Q211=Parametres!$G$3),I211,C211)</f>
        <v>-29139.71</v>
      </c>
      <c r="O211" s="655">
        <f>+IF(OR($Q211=Parametres!$G$2,$Q211=Parametres!$G$3),J211,D211)</f>
        <v>-18886.29</v>
      </c>
      <c r="P211" s="655">
        <f>+IF(OR($Q211=Parametres!$G$2,$Q211=Parametres!$G$3),K211,E211)</f>
        <v>-48026</v>
      </c>
      <c r="Q211" s="654" t="str">
        <f t="shared" si="173"/>
        <v>5-Ventes</v>
      </c>
      <c r="R211" s="653" t="str">
        <f t="shared" si="174"/>
        <v>4733</v>
      </c>
      <c r="S211" s="654" t="str">
        <f t="shared" si="175"/>
        <v>_</v>
      </c>
      <c r="T211" s="656" t="str">
        <f>+VLOOKUP($L211,Data_Validation!$A:$D,1,0)</f>
        <v>4733</v>
      </c>
      <c r="U211" s="656" t="str">
        <f>+VLOOKUP($L211,Data_Validation!$A:$D,3,0)</f>
        <v>Pièces</v>
      </c>
      <c r="V211" s="656" t="str">
        <f>+VLOOKUP($L211,Data_Validation!$A:$D,4,0)</f>
        <v>Pièces Ro Carrosserie</v>
      </c>
      <c r="W211" s="656" t="str">
        <f>+VLOOKUP($L211,Data_Validation!$A:$E,5,0)</f>
        <v>$</v>
      </c>
      <c r="X211" s="656" t="str">
        <f>+VLOOKUP($L211,Data_Validation!$A:$F,6,0)</f>
        <v>Oui</v>
      </c>
    </row>
    <row r="212" spans="1:24" ht="15" customHeight="1">
      <c r="A212" s="1218" t="s">
        <v>3680</v>
      </c>
      <c r="B212" s="1218" t="s">
        <v>1094</v>
      </c>
      <c r="C212" s="1220">
        <v>-633.58000000000004</v>
      </c>
      <c r="D212" s="1220">
        <v>0</v>
      </c>
      <c r="E212" s="1220">
        <v>-633.58000000000004</v>
      </c>
      <c r="F212" s="1218" t="s">
        <v>963</v>
      </c>
      <c r="G212" s="1218" t="s">
        <v>1094</v>
      </c>
      <c r="H212" s="1218" t="s">
        <v>3950</v>
      </c>
      <c r="I212" s="652"/>
      <c r="J212" s="652"/>
      <c r="K212" s="652"/>
      <c r="L212" s="653" t="str">
        <f t="shared" si="171"/>
        <v>4735</v>
      </c>
      <c r="M212" s="654" t="str">
        <f t="shared" si="172"/>
        <v>VW-P&amp;A-P&amp;BRO-INTERNE - MCI</v>
      </c>
      <c r="N212" s="655">
        <f>+IF(OR($Q212=Parametres!$G$2,$Q212=Parametres!$G$3),I212,C212)</f>
        <v>-633.58000000000004</v>
      </c>
      <c r="O212" s="655">
        <f>+IF(OR($Q212=Parametres!$G$2,$Q212=Parametres!$G$3),J212,D212)</f>
        <v>0</v>
      </c>
      <c r="P212" s="655">
        <f>+IF(OR($Q212=Parametres!$G$2,$Q212=Parametres!$G$3),K212,E212)</f>
        <v>-633.58000000000004</v>
      </c>
      <c r="Q212" s="654" t="str">
        <f t="shared" si="173"/>
        <v>5-Ventes</v>
      </c>
      <c r="R212" s="653" t="str">
        <f t="shared" si="174"/>
        <v>4735</v>
      </c>
      <c r="S212" s="654" t="str">
        <f t="shared" si="175"/>
        <v>_</v>
      </c>
      <c r="T212" s="656" t="str">
        <f>+VLOOKUP($L212,Data_Validation!$A:$D,1,0)</f>
        <v>4735</v>
      </c>
      <c r="U212" s="656" t="str">
        <f>+VLOOKUP($L212,Data_Validation!$A:$D,3,0)</f>
        <v>Pièces</v>
      </c>
      <c r="V212" s="656" t="str">
        <f>+VLOOKUP($L212,Data_Validation!$A:$D,4,0)</f>
        <v>Pièces Ro Carrosserie</v>
      </c>
      <c r="W212" s="656" t="str">
        <f>+VLOOKUP($L212,Data_Validation!$A:$E,5,0)</f>
        <v>$</v>
      </c>
      <c r="X212" s="656" t="str">
        <f>+VLOOKUP($L212,Data_Validation!$A:$F,6,0)</f>
        <v>Oui</v>
      </c>
    </row>
    <row r="213" spans="1:24" ht="15" customHeight="1">
      <c r="A213" s="1218" t="s">
        <v>1097</v>
      </c>
      <c r="B213" s="1218" t="s">
        <v>1098</v>
      </c>
      <c r="C213" s="1220">
        <v>-103649.72</v>
      </c>
      <c r="D213" s="1220">
        <v>-15743.02</v>
      </c>
      <c r="E213" s="1220">
        <v>-119392.74</v>
      </c>
      <c r="F213" s="1218" t="s">
        <v>963</v>
      </c>
      <c r="G213" s="1218" t="s">
        <v>1098</v>
      </c>
      <c r="H213" s="1218" t="s">
        <v>3950</v>
      </c>
      <c r="I213" s="670"/>
      <c r="J213" s="651"/>
      <c r="K213" s="670"/>
      <c r="L213" s="653" t="str">
        <f t="shared" si="171"/>
        <v>4761</v>
      </c>
      <c r="M213" s="654" t="str">
        <f t="shared" si="172"/>
        <v>VTE - P&amp;A VW COMPTOIR - DETAIL</v>
      </c>
      <c r="N213" s="655">
        <f>+IF(OR($Q213=Parametres!$G$2,$Q213=Parametres!$G$3),I213,C213)</f>
        <v>-103649.72</v>
      </c>
      <c r="O213" s="655">
        <f>+IF(OR($Q213=Parametres!$G$2,$Q213=Parametres!$G$3),J213,D213)</f>
        <v>-15743.02</v>
      </c>
      <c r="P213" s="655">
        <f>+IF(OR($Q213=Parametres!$G$2,$Q213=Parametres!$G$3),K213,E213)</f>
        <v>-119392.74</v>
      </c>
      <c r="Q213" s="654" t="str">
        <f t="shared" si="173"/>
        <v>5-Ventes</v>
      </c>
      <c r="R213" s="653" t="str">
        <f t="shared" si="174"/>
        <v>4761</v>
      </c>
      <c r="S213" s="654" t="str">
        <f t="shared" si="175"/>
        <v>_</v>
      </c>
      <c r="T213" s="656" t="str">
        <f>+VLOOKUP($L213,Data_Validation!$A:$D,1,0)</f>
        <v>4761</v>
      </c>
      <c r="U213" s="656" t="str">
        <f>+VLOOKUP($L213,Data_Validation!$A:$D,3,0)</f>
        <v>Pièces</v>
      </c>
      <c r="V213" s="656" t="str">
        <f>+VLOOKUP($L213,Data_Validation!$A:$D,4,0)</f>
        <v>Ventes Détails</v>
      </c>
      <c r="W213" s="656" t="str">
        <f>+VLOOKUP($L213,Data_Validation!$A:$E,5,0)</f>
        <v>$</v>
      </c>
      <c r="X213" s="656" t="str">
        <f>+VLOOKUP($L213,Data_Validation!$A:$F,6,0)</f>
        <v>Oui</v>
      </c>
    </row>
    <row r="214" spans="1:24" ht="15" customHeight="1">
      <c r="A214" s="1218" t="s">
        <v>1101</v>
      </c>
      <c r="B214" s="1218" t="s">
        <v>1102</v>
      </c>
      <c r="C214" s="1220">
        <v>-1162101.6100000001</v>
      </c>
      <c r="D214" s="1220">
        <v>-186492.61</v>
      </c>
      <c r="E214" s="1220">
        <v>-1348594.22</v>
      </c>
      <c r="F214" s="1218" t="s">
        <v>963</v>
      </c>
      <c r="G214" s="1218" t="s">
        <v>1102</v>
      </c>
      <c r="H214" s="1218" t="s">
        <v>3950</v>
      </c>
      <c r="I214" s="652"/>
      <c r="J214" s="652"/>
      <c r="K214" s="652"/>
      <c r="L214" s="653" t="str">
        <f t="shared" si="171"/>
        <v>4763</v>
      </c>
      <c r="M214" s="654" t="str">
        <f t="shared" si="172"/>
        <v>VTE - P&amp;A VW COMPTOIR GROS - ECHANGE</v>
      </c>
      <c r="N214" s="655">
        <f>+IF(OR($Q214=Parametres!$G$2,$Q214=Parametres!$G$3),I214,C214)</f>
        <v>-1162101.6100000001</v>
      </c>
      <c r="O214" s="655">
        <f>+IF(OR($Q214=Parametres!$G$2,$Q214=Parametres!$G$3),J214,D214)</f>
        <v>-186492.61</v>
      </c>
      <c r="P214" s="655">
        <f>+IF(OR($Q214=Parametres!$G$2,$Q214=Parametres!$G$3),K214,E214)</f>
        <v>-1348594.22</v>
      </c>
      <c r="Q214" s="654" t="str">
        <f t="shared" si="173"/>
        <v>5-Ventes</v>
      </c>
      <c r="R214" s="653" t="str">
        <f t="shared" si="174"/>
        <v>4763</v>
      </c>
      <c r="S214" s="654" t="str">
        <f t="shared" si="175"/>
        <v>_</v>
      </c>
      <c r="T214" s="656" t="str">
        <f>+VLOOKUP($L214,Data_Validation!$A:$D,1,0)</f>
        <v>4763</v>
      </c>
      <c r="U214" s="656" t="str">
        <f>+VLOOKUP($L214,Data_Validation!$A:$D,3,0)</f>
        <v>Pièces</v>
      </c>
      <c r="V214" s="656" t="str">
        <f>+VLOOKUP($L214,Data_Validation!$A:$D,4,0)</f>
        <v>Ventes de Gros</v>
      </c>
      <c r="W214" s="656" t="str">
        <f>+VLOOKUP($L214,Data_Validation!$A:$E,5,0)</f>
        <v>$</v>
      </c>
      <c r="X214" s="656" t="str">
        <f>+VLOOKUP($L214,Data_Validation!$A:$F,6,0)</f>
        <v>Oui</v>
      </c>
    </row>
    <row r="215" spans="1:24" ht="15.75" customHeight="1">
      <c r="A215" s="1218" t="s">
        <v>1105</v>
      </c>
      <c r="B215" s="1218" t="s">
        <v>1106</v>
      </c>
      <c r="C215" s="1220">
        <v>-239377.36</v>
      </c>
      <c r="D215" s="1220">
        <v>-32612.16</v>
      </c>
      <c r="E215" s="1220">
        <v>-271989.52</v>
      </c>
      <c r="F215" s="1218" t="s">
        <v>963</v>
      </c>
      <c r="G215" s="1218" t="s">
        <v>1106</v>
      </c>
      <c r="H215" s="1218" t="s">
        <v>3950</v>
      </c>
      <c r="I215" s="670"/>
      <c r="J215" s="670"/>
      <c r="K215" s="670"/>
      <c r="L215" s="653" t="str">
        <f t="shared" si="171"/>
        <v>4781</v>
      </c>
      <c r="M215" s="654" t="str">
        <f t="shared" si="172"/>
        <v>VENTES PNEUS</v>
      </c>
      <c r="N215" s="655">
        <f>+IF(OR($Q215=Parametres!$G$2,$Q215=Parametres!$G$3),I215,C215)</f>
        <v>-239377.36</v>
      </c>
      <c r="O215" s="655">
        <f>+IF(OR($Q215=Parametres!$G$2,$Q215=Parametres!$G$3),J215,D215)</f>
        <v>-32612.16</v>
      </c>
      <c r="P215" s="655">
        <f>+IF(OR($Q215=Parametres!$G$2,$Q215=Parametres!$G$3),K215,E215)</f>
        <v>-271989.52</v>
      </c>
      <c r="Q215" s="654" t="str">
        <f t="shared" si="173"/>
        <v>5-Ventes</v>
      </c>
      <c r="R215" s="653" t="str">
        <f t="shared" si="174"/>
        <v>4781</v>
      </c>
      <c r="S215" s="654" t="str">
        <f t="shared" si="175"/>
        <v>_</v>
      </c>
      <c r="T215" s="656" t="str">
        <f>+VLOOKUP($L215,Data_Validation!$A:$D,1,0)</f>
        <v>4781</v>
      </c>
      <c r="U215" s="656" t="str">
        <f>+VLOOKUP($L215,Data_Validation!$A:$D,3,0)</f>
        <v>Pièces</v>
      </c>
      <c r="V215" s="656" t="str">
        <f>+VLOOKUP($L215,Data_Validation!$A:$D,4,0)</f>
        <v>Ventes Pneus</v>
      </c>
      <c r="W215" s="656" t="str">
        <f>+VLOOKUP($L215,Data_Validation!$A:$E,5,0)</f>
        <v>$</v>
      </c>
      <c r="X215" s="656" t="str">
        <f>+VLOOKUP($L215,Data_Validation!$A:$F,6,0)</f>
        <v>Oui</v>
      </c>
    </row>
    <row r="216" spans="1:24" ht="15" customHeight="1">
      <c r="A216" s="1218" t="s">
        <v>1108</v>
      </c>
      <c r="B216" s="1218" t="s">
        <v>2050</v>
      </c>
      <c r="C216" s="1220">
        <v>-3791.28</v>
      </c>
      <c r="D216" s="1220">
        <v>0</v>
      </c>
      <c r="E216" s="1220">
        <v>-3791.28</v>
      </c>
      <c r="F216" s="1218" t="s">
        <v>963</v>
      </c>
      <c r="G216" s="1218" t="s">
        <v>1106</v>
      </c>
      <c r="H216" s="1218" t="s">
        <v>3950</v>
      </c>
      <c r="I216" s="670"/>
      <c r="J216" s="660"/>
      <c r="K216" s="670"/>
      <c r="L216" s="653" t="str">
        <f t="shared" si="171"/>
        <v>4785</v>
      </c>
      <c r="M216" s="654" t="str">
        <f t="shared" si="172"/>
        <v>VTE - VW PNEUS</v>
      </c>
      <c r="N216" s="655">
        <f>+IF(OR($Q216=Parametres!$G$2,$Q216=Parametres!$G$3),I216,C216)</f>
        <v>-3791.28</v>
      </c>
      <c r="O216" s="655">
        <f>+IF(OR($Q216=Parametres!$G$2,$Q216=Parametres!$G$3),J216,D216)</f>
        <v>0</v>
      </c>
      <c r="P216" s="655">
        <f>+IF(OR($Q216=Parametres!$G$2,$Q216=Parametres!$G$3),K216,E216)</f>
        <v>-3791.28</v>
      </c>
      <c r="Q216" s="654" t="str">
        <f t="shared" si="173"/>
        <v>5-Ventes</v>
      </c>
      <c r="R216" s="653" t="str">
        <f t="shared" si="174"/>
        <v>4781</v>
      </c>
      <c r="S216" s="654" t="str">
        <f t="shared" si="175"/>
        <v>_</v>
      </c>
      <c r="T216" s="656" t="str">
        <f>+VLOOKUP($L216,Data_Validation!$A:$D,1,0)</f>
        <v>4785</v>
      </c>
      <c r="U216" s="656" t="str">
        <f>+VLOOKUP($L216,Data_Validation!$A:$D,3,0)</f>
        <v>Pièces</v>
      </c>
      <c r="V216" s="656" t="str">
        <f>+VLOOKUP($L216,Data_Validation!$A:$D,4,0)</f>
        <v>Ventes Pneus</v>
      </c>
      <c r="W216" s="656" t="str">
        <f>+VLOOKUP($L216,Data_Validation!$A:$E,5,0)</f>
        <v>$</v>
      </c>
      <c r="X216" s="656" t="str">
        <f>+VLOOKUP($L216,Data_Validation!$A:$F,6,0)</f>
        <v>Oui</v>
      </c>
    </row>
    <row r="217" spans="1:24" ht="15" customHeight="1">
      <c r="A217" s="1218" t="s">
        <v>1109</v>
      </c>
      <c r="B217" s="1218" t="s">
        <v>2058</v>
      </c>
      <c r="C217" s="1220">
        <v>1761493.83</v>
      </c>
      <c r="D217" s="1220">
        <v>442022.65</v>
      </c>
      <c r="E217" s="1220">
        <v>2203516.48</v>
      </c>
      <c r="F217" s="1218" t="s">
        <v>1110</v>
      </c>
      <c r="G217" s="1218" t="s">
        <v>964</v>
      </c>
      <c r="H217" s="1218" t="s">
        <v>3950</v>
      </c>
      <c r="I217" s="672"/>
      <c r="J217" s="663"/>
      <c r="K217" s="672"/>
      <c r="L217" s="653" t="str">
        <f t="shared" si="171"/>
        <v>5100</v>
      </c>
      <c r="M217" s="654" t="str">
        <f t="shared" si="172"/>
        <v>C/V - RACHAT DE BAIL</v>
      </c>
      <c r="N217" s="655">
        <f>+IF(OR($Q217=Parametres!$G$2,$Q217=Parametres!$G$3),I217,C217)</f>
        <v>1761493.83</v>
      </c>
      <c r="O217" s="655">
        <f>+IF(OR($Q217=Parametres!$G$2,$Q217=Parametres!$G$3),J217,D217)</f>
        <v>442022.65</v>
      </c>
      <c r="P217" s="655">
        <f>+IF(OR($Q217=Parametres!$G$2,$Q217=Parametres!$G$3),K217,E217)</f>
        <v>2203516.48</v>
      </c>
      <c r="Q217" s="654" t="str">
        <f t="shared" si="173"/>
        <v>6-Coût des ventes</v>
      </c>
      <c r="R217" s="653" t="str">
        <f t="shared" si="174"/>
        <v>4100</v>
      </c>
      <c r="S217" s="654" t="str">
        <f t="shared" si="175"/>
        <v>_</v>
      </c>
      <c r="T217" s="656" t="str">
        <f>+VLOOKUP($L217,Data_Validation!$A:$D,1,0)</f>
        <v>5100</v>
      </c>
      <c r="U217" s="656" t="str">
        <f>+VLOOKUP($L217,Data_Validation!$A:$D,3,0)</f>
        <v>Véhicules neufs</v>
      </c>
      <c r="V217" s="656" t="str">
        <f>+VLOOKUP($L217,Data_Validation!$A:$D,4,0)</f>
        <v>Rachat bail</v>
      </c>
      <c r="W217" s="656" t="str">
        <f>+VLOOKUP($L217,Data_Validation!$A:$E,5,0)</f>
        <v>$</v>
      </c>
      <c r="X217" s="656">
        <f>+VLOOKUP($L217,Data_Validation!$A:$F,6,0)</f>
        <v>0</v>
      </c>
    </row>
    <row r="218" spans="1:24" ht="15" customHeight="1">
      <c r="A218" s="1218" t="s">
        <v>1111</v>
      </c>
      <c r="B218" s="1218" t="s">
        <v>2070</v>
      </c>
      <c r="C218" s="1220">
        <v>807043.55</v>
      </c>
      <c r="D218" s="1220">
        <v>155529.62</v>
      </c>
      <c r="E218" s="1220">
        <v>962573.17</v>
      </c>
      <c r="F218" s="1218" t="s">
        <v>1110</v>
      </c>
      <c r="G218" s="1218" t="s">
        <v>968</v>
      </c>
      <c r="H218" s="1218" t="s">
        <v>3950</v>
      </c>
      <c r="I218" s="652"/>
      <c r="J218" s="652"/>
      <c r="K218" s="652"/>
      <c r="L218" s="653" t="str">
        <f t="shared" si="171"/>
        <v>5109</v>
      </c>
      <c r="M218" s="654" t="str">
        <f t="shared" si="172"/>
        <v>C/V - GOLF R</v>
      </c>
      <c r="N218" s="655">
        <f>+IF(OR($Q218=Parametres!$G$2,$Q218=Parametres!$G$3),I218,C218)</f>
        <v>807043.55</v>
      </c>
      <c r="O218" s="655">
        <f>+IF(OR($Q218=Parametres!$G$2,$Q218=Parametres!$G$3),J218,D218)</f>
        <v>155529.62</v>
      </c>
      <c r="P218" s="655">
        <f>+IF(OR($Q218=Parametres!$G$2,$Q218=Parametres!$G$3),K218,E218)</f>
        <v>962573.17</v>
      </c>
      <c r="Q218" s="654" t="str">
        <f t="shared" si="173"/>
        <v>6-Coût des ventes</v>
      </c>
      <c r="R218" s="653" t="str">
        <f t="shared" si="174"/>
        <v>4109</v>
      </c>
      <c r="S218" s="654" t="str">
        <f t="shared" si="175"/>
        <v>_</v>
      </c>
      <c r="T218" s="656" t="str">
        <f>+VLOOKUP($L218,Data_Validation!$A:$D,1,0)</f>
        <v>5109</v>
      </c>
      <c r="U218" s="656" t="str">
        <f>+VLOOKUP($L218,Data_Validation!$A:$D,3,0)</f>
        <v>Véhicules neufs</v>
      </c>
      <c r="V218" s="656" t="str">
        <f>+VLOOKUP($L218,Data_Validation!$A:$D,4,0)</f>
        <v>Autos détail</v>
      </c>
      <c r="W218" s="656" t="str">
        <f>+VLOOKUP($L218,Data_Validation!$A:$E,5,0)</f>
        <v>$</v>
      </c>
      <c r="X218" s="656">
        <f>+VLOOKUP($L218,Data_Validation!$A:$F,6,0)</f>
        <v>0</v>
      </c>
    </row>
    <row r="219" spans="1:24" ht="15.75" customHeight="1">
      <c r="A219" s="1218" t="s">
        <v>971</v>
      </c>
      <c r="B219" s="1218" t="s">
        <v>2075</v>
      </c>
      <c r="C219" s="1220">
        <v>919348.66</v>
      </c>
      <c r="D219" s="1220">
        <v>97372.12</v>
      </c>
      <c r="E219" s="1220">
        <v>1016720.78</v>
      </c>
      <c r="F219" s="1218" t="s">
        <v>1110</v>
      </c>
      <c r="G219" s="1218" t="s">
        <v>972</v>
      </c>
      <c r="H219" s="1218" t="s">
        <v>3950</v>
      </c>
      <c r="I219" s="652"/>
      <c r="J219" s="652"/>
      <c r="K219" s="652"/>
      <c r="L219" s="653" t="str">
        <f t="shared" si="171"/>
        <v>5111</v>
      </c>
      <c r="M219" s="654" t="str">
        <f t="shared" si="172"/>
        <v>JETTA/ JETTA GLI</v>
      </c>
      <c r="N219" s="655">
        <f>+IF(OR($Q219=Parametres!$G$2,$Q219=Parametres!$G$3),I219,C219)</f>
        <v>919348.66</v>
      </c>
      <c r="O219" s="659">
        <f>+IF(OR($Q219=Parametres!$G$2,$Q219=Parametres!$G$3),J219,D219)</f>
        <v>97372.12</v>
      </c>
      <c r="P219" s="655">
        <f>+IF(OR($Q219=Parametres!$G$2,$Q219=Parametres!$G$3),K219,E219)</f>
        <v>1016720.78</v>
      </c>
      <c r="Q219" s="654" t="str">
        <f t="shared" si="173"/>
        <v>6-Coût des ventes</v>
      </c>
      <c r="R219" s="653" t="str">
        <f t="shared" si="174"/>
        <v>4111</v>
      </c>
      <c r="S219" s="654" t="str">
        <f t="shared" si="175"/>
        <v>_</v>
      </c>
      <c r="T219" s="656" t="str">
        <f>+VLOOKUP($L219,Data_Validation!$A:$D,1,0)</f>
        <v>5111</v>
      </c>
      <c r="U219" s="656" t="str">
        <f>+VLOOKUP($L219,Data_Validation!$A:$D,3,0)</f>
        <v>Véhicules neufs</v>
      </c>
      <c r="V219" s="656" t="str">
        <f>+VLOOKUP($L219,Data_Validation!$A:$D,4,0)</f>
        <v>Autos détail</v>
      </c>
      <c r="W219" s="656" t="str">
        <f>+VLOOKUP($L219,Data_Validation!$A:$E,5,0)</f>
        <v>$</v>
      </c>
      <c r="X219" s="656">
        <f>+VLOOKUP($L219,Data_Validation!$A:$F,6,0)</f>
        <v>0</v>
      </c>
    </row>
    <row r="220" spans="1:24" ht="15" customHeight="1">
      <c r="A220" s="1218" t="s">
        <v>1112</v>
      </c>
      <c r="B220" s="1218" t="s">
        <v>3384</v>
      </c>
      <c r="C220" s="1220">
        <v>3345236.93</v>
      </c>
      <c r="D220" s="1220">
        <v>1165820.54</v>
      </c>
      <c r="E220" s="1220">
        <v>4511057.47</v>
      </c>
      <c r="F220" s="1218" t="s">
        <v>1110</v>
      </c>
      <c r="G220" s="1218" t="s">
        <v>1113</v>
      </c>
      <c r="H220" s="1218" t="s">
        <v>3950</v>
      </c>
      <c r="I220" s="672"/>
      <c r="J220" s="663"/>
      <c r="K220" s="672"/>
      <c r="L220" s="653" t="str">
        <f t="shared" si="171"/>
        <v>5118</v>
      </c>
      <c r="M220" s="654" t="str">
        <f t="shared" si="172"/>
        <v>C/V - TAOS</v>
      </c>
      <c r="N220" s="655">
        <f>+IF(OR($Q220=Parametres!$G$2,$Q220=Parametres!$G$3),I220,C220)</f>
        <v>3345236.93</v>
      </c>
      <c r="O220" s="655">
        <f>+IF(OR($Q220=Parametres!$G$2,$Q220=Parametres!$G$3),J220,D220)</f>
        <v>1165820.54</v>
      </c>
      <c r="P220" s="655">
        <f>+IF(OR($Q220=Parametres!$G$2,$Q220=Parametres!$G$3),K220,E220)</f>
        <v>4511057.47</v>
      </c>
      <c r="Q220" s="654" t="str">
        <f t="shared" si="173"/>
        <v>6-Coût des ventes</v>
      </c>
      <c r="R220" s="653" t="str">
        <f t="shared" si="174"/>
        <v>511</v>
      </c>
      <c r="S220" s="654" t="str">
        <f t="shared" si="175"/>
        <v>_</v>
      </c>
      <c r="T220" s="656" t="str">
        <f>+VLOOKUP($L220,Data_Validation!$A:$D,1,0)</f>
        <v>5118</v>
      </c>
      <c r="U220" s="656" t="str">
        <f>+VLOOKUP($L220,Data_Validation!$A:$D,3,0)</f>
        <v>Véhicules neufs</v>
      </c>
      <c r="V220" s="656" t="str">
        <f>+VLOOKUP($L220,Data_Validation!$A:$D,4,0)</f>
        <v>Camions détail</v>
      </c>
      <c r="W220" s="656" t="str">
        <f>+VLOOKUP($L220,Data_Validation!$A:$E,5,0)</f>
        <v>$</v>
      </c>
      <c r="X220" s="656">
        <f>+VLOOKUP($L220,Data_Validation!$A:$F,6,0)</f>
        <v>0</v>
      </c>
    </row>
    <row r="221" spans="1:24" ht="15" customHeight="1">
      <c r="A221" s="1218" t="s">
        <v>1114</v>
      </c>
      <c r="B221" s="1218" t="s">
        <v>2084</v>
      </c>
      <c r="C221" s="1220">
        <v>1561420.44</v>
      </c>
      <c r="D221" s="1220">
        <v>60434.77</v>
      </c>
      <c r="E221" s="1220">
        <v>1621855.21</v>
      </c>
      <c r="F221" s="1218" t="s">
        <v>1110</v>
      </c>
      <c r="G221" s="1218" t="s">
        <v>980</v>
      </c>
      <c r="H221" s="1218" t="s">
        <v>3950</v>
      </c>
      <c r="I221" s="672"/>
      <c r="J221" s="663"/>
      <c r="K221" s="672"/>
      <c r="L221" s="653" t="str">
        <f t="shared" si="171"/>
        <v>5119</v>
      </c>
      <c r="M221" s="654" t="str">
        <f t="shared" si="172"/>
        <v>C/V - ATLAS</v>
      </c>
      <c r="N221" s="655">
        <f>+IF(OR($Q221=Parametres!$G$2,$Q221=Parametres!$G$3),I221,C221)</f>
        <v>1561420.44</v>
      </c>
      <c r="O221" s="655">
        <f>+IF(OR($Q221=Parametres!$G$2,$Q221=Parametres!$G$3),J221,D221)</f>
        <v>60434.77</v>
      </c>
      <c r="P221" s="655">
        <f>+IF(OR($Q221=Parametres!$G$2,$Q221=Parametres!$G$3),K221,E221)</f>
        <v>1621855.21</v>
      </c>
      <c r="Q221" s="654" t="str">
        <f t="shared" si="173"/>
        <v>6-Coût des ventes</v>
      </c>
      <c r="R221" s="653" t="str">
        <f t="shared" si="174"/>
        <v>4119</v>
      </c>
      <c r="S221" s="654" t="str">
        <f t="shared" si="175"/>
        <v>_</v>
      </c>
      <c r="T221" s="656" t="str">
        <f>+VLOOKUP($L221,Data_Validation!$A:$D,1,0)</f>
        <v>5119</v>
      </c>
      <c r="U221" s="656" t="str">
        <f>+VLOOKUP($L221,Data_Validation!$A:$D,3,0)</f>
        <v>Véhicules neufs</v>
      </c>
      <c r="V221" s="656" t="str">
        <f>+VLOOKUP($L221,Data_Validation!$A:$D,4,0)</f>
        <v>Camions détail</v>
      </c>
      <c r="W221" s="656" t="str">
        <f>+VLOOKUP($L221,Data_Validation!$A:$E,5,0)</f>
        <v>$</v>
      </c>
      <c r="X221" s="656">
        <f>+VLOOKUP($L221,Data_Validation!$A:$F,6,0)</f>
        <v>0</v>
      </c>
    </row>
    <row r="222" spans="1:24" ht="15" customHeight="1">
      <c r="A222" s="1218" t="s">
        <v>1115</v>
      </c>
      <c r="B222" s="1218" t="s">
        <v>3385</v>
      </c>
      <c r="C222" s="1220">
        <v>663044.22</v>
      </c>
      <c r="D222" s="1220">
        <v>57633.77</v>
      </c>
      <c r="E222" s="1220">
        <v>720677.99</v>
      </c>
      <c r="F222" s="1218" t="s">
        <v>1110</v>
      </c>
      <c r="G222" s="1218" t="s">
        <v>3349</v>
      </c>
      <c r="H222" s="1218" t="s">
        <v>3950</v>
      </c>
      <c r="I222" s="670"/>
      <c r="J222" s="651"/>
      <c r="K222" s="670"/>
      <c r="L222" s="653" t="str">
        <f t="shared" si="171"/>
        <v>5121</v>
      </c>
      <c r="M222" s="654" t="str">
        <f t="shared" si="172"/>
        <v>C/V - ATLAS CROSS SPORT</v>
      </c>
      <c r="N222" s="655">
        <f>+IF(OR($Q222=Parametres!$G$2,$Q222=Parametres!$G$3),I222,C222)</f>
        <v>663044.22</v>
      </c>
      <c r="O222" s="655">
        <f>+IF(OR($Q222=Parametres!$G$2,$Q222=Parametres!$G$3),J222,D222)</f>
        <v>57633.77</v>
      </c>
      <c r="P222" s="655">
        <f>+IF(OR($Q222=Parametres!$G$2,$Q222=Parametres!$G$3),K222,E222)</f>
        <v>720677.99</v>
      </c>
      <c r="Q222" s="654" t="str">
        <f t="shared" si="173"/>
        <v>6-Coût des ventes</v>
      </c>
      <c r="R222" s="653" t="str">
        <f t="shared" si="174"/>
        <v>4121</v>
      </c>
      <c r="S222" s="654" t="str">
        <f t="shared" si="175"/>
        <v>_</v>
      </c>
      <c r="T222" s="656" t="str">
        <f>+VLOOKUP($L222,Data_Validation!$A:$D,1,0)</f>
        <v>5121</v>
      </c>
      <c r="U222" s="656" t="str">
        <f>+VLOOKUP($L222,Data_Validation!$A:$D,3,0)</f>
        <v>Véhicules neufs</v>
      </c>
      <c r="V222" s="656" t="str">
        <f>+VLOOKUP($L222,Data_Validation!$A:$D,4,0)</f>
        <v>Camions détail</v>
      </c>
      <c r="W222" s="656" t="str">
        <f>+VLOOKUP($L222,Data_Validation!$A:$E,5,0)</f>
        <v>$</v>
      </c>
      <c r="X222" s="656">
        <f>+VLOOKUP($L222,Data_Validation!$A:$F,6,0)</f>
        <v>0</v>
      </c>
    </row>
    <row r="223" spans="1:24" ht="15" customHeight="1">
      <c r="A223" s="1218" t="s">
        <v>1116</v>
      </c>
      <c r="B223" s="1218" t="s">
        <v>2090</v>
      </c>
      <c r="C223" s="1220">
        <v>637326.17000000004</v>
      </c>
      <c r="D223" s="1220">
        <v>203966.79</v>
      </c>
      <c r="E223" s="1220">
        <v>841292.96</v>
      </c>
      <c r="F223" s="1218" t="s">
        <v>1110</v>
      </c>
      <c r="G223" s="1218" t="s">
        <v>987</v>
      </c>
      <c r="H223" s="1218" t="s">
        <v>3950</v>
      </c>
      <c r="I223" s="1157"/>
      <c r="J223" s="1157"/>
      <c r="K223" s="1157"/>
      <c r="L223" s="653" t="str">
        <f t="shared" si="171"/>
        <v>5127</v>
      </c>
      <c r="M223" s="654" t="str">
        <f t="shared" si="172"/>
        <v>C/V - GOLF GTI</v>
      </c>
      <c r="N223" s="655">
        <f>+IF(OR($Q223=Parametres!$G$2,$Q223=Parametres!$G$3),I223,C223)</f>
        <v>637326.17000000004</v>
      </c>
      <c r="O223" s="655">
        <f>+IF(OR($Q223=Parametres!$G$2,$Q223=Parametres!$G$3),J223,D223)</f>
        <v>203966.79</v>
      </c>
      <c r="P223" s="655">
        <f>+IF(OR($Q223=Parametres!$G$2,$Q223=Parametres!$G$3),K223,E223)</f>
        <v>841292.96</v>
      </c>
      <c r="Q223" s="654" t="str">
        <f t="shared" si="173"/>
        <v>6-Coût des ventes</v>
      </c>
      <c r="R223" s="653" t="str">
        <f t="shared" si="174"/>
        <v>4127</v>
      </c>
      <c r="S223" s="654" t="str">
        <f t="shared" si="175"/>
        <v>_</v>
      </c>
      <c r="T223" s="656" t="str">
        <f>+VLOOKUP($L223,Data_Validation!$A:$D,1,0)</f>
        <v>5127</v>
      </c>
      <c r="U223" s="656" t="str">
        <f>+VLOOKUP($L223,Data_Validation!$A:$D,3,0)</f>
        <v>Véhicules neufs</v>
      </c>
      <c r="V223" s="656" t="str">
        <f>+VLOOKUP($L223,Data_Validation!$A:$D,4,0)</f>
        <v>Autos détail</v>
      </c>
      <c r="W223" s="656" t="str">
        <f>+VLOOKUP($L223,Data_Validation!$A:$E,5,0)</f>
        <v>$</v>
      </c>
      <c r="X223" s="656">
        <f>+VLOOKUP($L223,Data_Validation!$A:$F,6,0)</f>
        <v>0</v>
      </c>
    </row>
    <row r="224" spans="1:24" ht="15" customHeight="1">
      <c r="A224" s="1218" t="s">
        <v>1117</v>
      </c>
      <c r="B224" s="1218" t="s">
        <v>2093</v>
      </c>
      <c r="C224" s="1220">
        <v>1358277.16</v>
      </c>
      <c r="D224" s="1220">
        <v>1127092.21</v>
      </c>
      <c r="E224" s="1220">
        <v>2485369.37</v>
      </c>
      <c r="F224" s="1218" t="s">
        <v>1110</v>
      </c>
      <c r="G224" s="1218" t="s">
        <v>991</v>
      </c>
      <c r="H224" s="1218" t="s">
        <v>3950</v>
      </c>
      <c r="I224" s="1157"/>
      <c r="J224" s="1157"/>
      <c r="K224" s="1157"/>
      <c r="L224" s="653" t="str">
        <f t="shared" si="171"/>
        <v>5131</v>
      </c>
      <c r="M224" s="654" t="str">
        <f t="shared" si="172"/>
        <v>C/V - TIGUAN LWB</v>
      </c>
      <c r="N224" s="655">
        <f>+IF(OR($Q224=Parametres!$G$2,$Q224=Parametres!$G$3),I224,C224)</f>
        <v>1358277.16</v>
      </c>
      <c r="O224" s="655">
        <f>+IF(OR($Q224=Parametres!$G$2,$Q224=Parametres!$G$3),J224,D224)</f>
        <v>1127092.21</v>
      </c>
      <c r="P224" s="655">
        <f>+IF(OR($Q224=Parametres!$G$2,$Q224=Parametres!$G$3),K224,E224)</f>
        <v>2485369.37</v>
      </c>
      <c r="Q224" s="654" t="str">
        <f t="shared" si="173"/>
        <v>6-Coût des ventes</v>
      </c>
      <c r="R224" s="653" t="str">
        <f t="shared" si="174"/>
        <v>4131</v>
      </c>
      <c r="S224" s="654" t="str">
        <f t="shared" si="175"/>
        <v>_</v>
      </c>
      <c r="T224" s="656" t="str">
        <f>+VLOOKUP($L224,Data_Validation!$A:$D,1,0)</f>
        <v>5131</v>
      </c>
      <c r="U224" s="656" t="str">
        <f>+VLOOKUP($L224,Data_Validation!$A:$D,3,0)</f>
        <v>Véhicules neufs</v>
      </c>
      <c r="V224" s="656" t="str">
        <f>+VLOOKUP($L224,Data_Validation!$A:$D,4,0)</f>
        <v>Camions détail</v>
      </c>
      <c r="W224" s="656" t="str">
        <f>+VLOOKUP($L224,Data_Validation!$A:$E,5,0)</f>
        <v>$</v>
      </c>
      <c r="X224" s="656">
        <f>+VLOOKUP($L224,Data_Validation!$A:$F,6,0)</f>
        <v>0</v>
      </c>
    </row>
    <row r="225" spans="1:24" ht="15.75" customHeight="1">
      <c r="A225" s="1218" t="s">
        <v>1118</v>
      </c>
      <c r="B225" s="1218" t="s">
        <v>2099</v>
      </c>
      <c r="C225" s="1220">
        <v>464399.04</v>
      </c>
      <c r="D225" s="1220">
        <v>0</v>
      </c>
      <c r="E225" s="1220">
        <v>464399.04</v>
      </c>
      <c r="F225" s="1218" t="s">
        <v>1110</v>
      </c>
      <c r="G225" s="1218" t="s">
        <v>995</v>
      </c>
      <c r="H225" s="1218" t="s">
        <v>3950</v>
      </c>
      <c r="I225" s="1157"/>
      <c r="J225" s="1157"/>
      <c r="K225" s="1157"/>
      <c r="L225" s="653" t="str">
        <f t="shared" si="171"/>
        <v>5137</v>
      </c>
      <c r="M225" s="654" t="str">
        <f t="shared" si="172"/>
        <v>C/V - VW FLOTTE/VENTE ENTR/EMPLOYE/VEH DEMONS</v>
      </c>
      <c r="N225" s="655">
        <f>+IF(OR($Q225=Parametres!$G$2,$Q225=Parametres!$G$3),I225,C225)</f>
        <v>464399.04</v>
      </c>
      <c r="O225" s="655">
        <f>+IF(OR($Q225=Parametres!$G$2,$Q225=Parametres!$G$3),J225,D225)</f>
        <v>0</v>
      </c>
      <c r="P225" s="655">
        <f>+IF(OR($Q225=Parametres!$G$2,$Q225=Parametres!$G$3),K225,E225)</f>
        <v>464399.04</v>
      </c>
      <c r="Q225" s="654" t="str">
        <f t="shared" si="173"/>
        <v>6-Coût des ventes</v>
      </c>
      <c r="R225" s="653" t="str">
        <f t="shared" si="174"/>
        <v>4137</v>
      </c>
      <c r="S225" s="654" t="str">
        <f t="shared" si="175"/>
        <v>_</v>
      </c>
      <c r="T225" s="656" t="str">
        <f>+VLOOKUP($L225,Data_Validation!$A:$D,1,0)</f>
        <v>5137</v>
      </c>
      <c r="U225" s="656" t="str">
        <f>+VLOOKUP($L225,Data_Validation!$A:$D,3,0)</f>
        <v>Véhicules neufs</v>
      </c>
      <c r="V225" s="656" t="str">
        <f>+VLOOKUP($L225,Data_Validation!$A:$D,4,0)</f>
        <v>Flottes</v>
      </c>
      <c r="W225" s="656" t="str">
        <f>+VLOOKUP($L225,Data_Validation!$A:$E,5,0)</f>
        <v>$</v>
      </c>
      <c r="X225" s="656">
        <f>+VLOOKUP($L225,Data_Validation!$A:$F,6,0)</f>
        <v>0</v>
      </c>
    </row>
    <row r="226" spans="1:24" ht="15" customHeight="1">
      <c r="A226" s="1218" t="s">
        <v>1118</v>
      </c>
      <c r="B226" s="1218" t="s">
        <v>2102</v>
      </c>
      <c r="C226" s="1220">
        <v>835716.69</v>
      </c>
      <c r="D226" s="1220">
        <v>238347.08</v>
      </c>
      <c r="E226" s="1220">
        <v>1074063.77</v>
      </c>
      <c r="F226" s="1218" t="s">
        <v>1110</v>
      </c>
      <c r="G226" s="1218" t="s">
        <v>999</v>
      </c>
      <c r="H226" s="1218" t="s">
        <v>3950</v>
      </c>
      <c r="I226" s="670"/>
      <c r="J226" s="651"/>
      <c r="K226" s="670"/>
      <c r="L226" s="653" t="str">
        <f t="shared" si="171"/>
        <v>5139</v>
      </c>
      <c r="M226" s="654" t="str">
        <f t="shared" si="172"/>
        <v>C/V - VW FLOTTE/VENTE ENTR/EMPLOYE/VEH DEMONS</v>
      </c>
      <c r="N226" s="655">
        <f>+IF(OR($Q226=Parametres!$G$2,$Q226=Parametres!$G$3),I226,C226)</f>
        <v>835716.69</v>
      </c>
      <c r="O226" s="655">
        <f>+IF(OR($Q226=Parametres!$G$2,$Q226=Parametres!$G$3),J226,D226)</f>
        <v>238347.08</v>
      </c>
      <c r="P226" s="655">
        <f>+IF(OR($Q226=Parametres!$G$2,$Q226=Parametres!$G$3),K226,E226)</f>
        <v>1074063.77</v>
      </c>
      <c r="Q226" s="654" t="str">
        <f t="shared" si="173"/>
        <v>6-Coût des ventes</v>
      </c>
      <c r="R226" s="653" t="str">
        <f t="shared" si="174"/>
        <v>4139</v>
      </c>
      <c r="S226" s="654" t="str">
        <f t="shared" si="175"/>
        <v>_</v>
      </c>
      <c r="T226" s="656" t="str">
        <f>+VLOOKUP($L226,Data_Validation!$A:$D,1,0)</f>
        <v>5139</v>
      </c>
      <c r="U226" s="656" t="str">
        <f>+VLOOKUP($L226,Data_Validation!$A:$D,3,0)</f>
        <v>Véhicules neufs</v>
      </c>
      <c r="V226" s="656" t="str">
        <f>+VLOOKUP($L226,Data_Validation!$A:$D,4,0)</f>
        <v>Ex-Démos et courtoisies</v>
      </c>
      <c r="W226" s="656" t="str">
        <f>+VLOOKUP($L226,Data_Validation!$A:$E,5,0)</f>
        <v>$</v>
      </c>
      <c r="X226" s="656">
        <f>+VLOOKUP($L226,Data_Validation!$A:$F,6,0)</f>
        <v>0</v>
      </c>
    </row>
    <row r="227" spans="1:24" ht="15" customHeight="1">
      <c r="A227" s="1218" t="s">
        <v>3895</v>
      </c>
      <c r="B227" s="1218" t="s">
        <v>3896</v>
      </c>
      <c r="C227" s="1220">
        <v>2527221.8199999998</v>
      </c>
      <c r="D227" s="1220">
        <v>115372.27</v>
      </c>
      <c r="E227" s="1220">
        <v>2642594.09</v>
      </c>
      <c r="F227" s="1218" t="s">
        <v>1110</v>
      </c>
      <c r="G227" s="1218" t="s">
        <v>3894</v>
      </c>
      <c r="H227" s="1218" t="s">
        <v>3950</v>
      </c>
      <c r="I227" s="652"/>
      <c r="J227" s="652"/>
      <c r="K227" s="652"/>
      <c r="L227" s="653" t="str">
        <f t="shared" si="171"/>
        <v>5141</v>
      </c>
      <c r="M227" s="654" t="str">
        <f t="shared" si="172"/>
        <v>C/V - ID4</v>
      </c>
      <c r="N227" s="655">
        <f>+IF(OR($Q227=Parametres!$G$2,$Q227=Parametres!$G$3),I227,C227)</f>
        <v>2527221.8199999998</v>
      </c>
      <c r="O227" s="655">
        <f>+IF(OR($Q227=Parametres!$G$2,$Q227=Parametres!$G$3),J227,D227)</f>
        <v>115372.27</v>
      </c>
      <c r="P227" s="655">
        <f>+IF(OR($Q227=Parametres!$G$2,$Q227=Parametres!$G$3),K227,E227)</f>
        <v>2642594.09</v>
      </c>
      <c r="Q227" s="654" t="str">
        <f t="shared" si="173"/>
        <v>6-Coût des ventes</v>
      </c>
      <c r="R227" s="653" t="str">
        <f t="shared" si="174"/>
        <v>4141</v>
      </c>
      <c r="S227" s="654" t="str">
        <f t="shared" si="175"/>
        <v>_</v>
      </c>
      <c r="T227" s="656" t="str">
        <f>+VLOOKUP($L227,Data_Validation!$A:$D,1,0)</f>
        <v>5141</v>
      </c>
      <c r="U227" s="656" t="str">
        <f>+VLOOKUP($L227,Data_Validation!$A:$D,3,0)</f>
        <v>Véhicules neufs</v>
      </c>
      <c r="V227" s="656" t="str">
        <f>+VLOOKUP($L227,Data_Validation!$A:$D,4,0)</f>
        <v>Camions détail</v>
      </c>
      <c r="W227" s="656" t="str">
        <f>+VLOOKUP($L227,Data_Validation!$A:$E,5,0)</f>
        <v>$</v>
      </c>
      <c r="X227" s="656">
        <f>+VLOOKUP($L227,Data_Validation!$A:$F,6,0)</f>
        <v>0</v>
      </c>
    </row>
    <row r="228" spans="1:24" ht="15" customHeight="1">
      <c r="A228" s="1218" t="s">
        <v>1119</v>
      </c>
      <c r="B228" s="1218" t="s">
        <v>3386</v>
      </c>
      <c r="C228" s="1220">
        <v>250812.24</v>
      </c>
      <c r="D228" s="1220">
        <v>72766.240000000005</v>
      </c>
      <c r="E228" s="1220">
        <v>323578.48</v>
      </c>
      <c r="F228" s="1218" t="s">
        <v>1110</v>
      </c>
      <c r="G228" s="1218" t="s">
        <v>1120</v>
      </c>
      <c r="H228" s="1218" t="s">
        <v>3950</v>
      </c>
      <c r="I228" s="652"/>
      <c r="J228" s="652"/>
      <c r="K228" s="652"/>
      <c r="L228" s="653" t="str">
        <f t="shared" si="171"/>
        <v>5144</v>
      </c>
      <c r="M228" s="654" t="str">
        <f t="shared" si="172"/>
        <v>C/V - JETTA GLI</v>
      </c>
      <c r="N228" s="655">
        <f>+IF(OR($Q228=Parametres!$G$2,$Q228=Parametres!$G$3),I228,C228)</f>
        <v>250812.24</v>
      </c>
      <c r="O228" s="655">
        <f>+IF(OR($Q228=Parametres!$G$2,$Q228=Parametres!$G$3),J228,D228)</f>
        <v>72766.240000000005</v>
      </c>
      <c r="P228" s="655">
        <f>+IF(OR($Q228=Parametres!$G$2,$Q228=Parametres!$G$3),K228,E228)</f>
        <v>323578.48</v>
      </c>
      <c r="Q228" s="654" t="str">
        <f t="shared" si="173"/>
        <v>6-Coût des ventes</v>
      </c>
      <c r="R228" s="653" t="str">
        <f t="shared" si="174"/>
        <v>514</v>
      </c>
      <c r="S228" s="654" t="str">
        <f t="shared" si="175"/>
        <v>_</v>
      </c>
      <c r="T228" s="656" t="str">
        <f>+VLOOKUP($L228,Data_Validation!$A:$D,1,0)</f>
        <v>5144</v>
      </c>
      <c r="U228" s="656" t="str">
        <f>+VLOOKUP($L228,Data_Validation!$A:$D,3,0)</f>
        <v>Véhicules neufs</v>
      </c>
      <c r="V228" s="656" t="str">
        <f>+VLOOKUP($L228,Data_Validation!$A:$D,4,0)</f>
        <v>Autos détail</v>
      </c>
      <c r="W228" s="656" t="str">
        <f>+VLOOKUP($L228,Data_Validation!$A:$E,5,0)</f>
        <v>$</v>
      </c>
      <c r="X228" s="656">
        <f>+VLOOKUP($L228,Data_Validation!$A:$F,6,0)</f>
        <v>0</v>
      </c>
    </row>
    <row r="229" spans="1:24" ht="15.75" customHeight="1">
      <c r="A229" s="1218" t="s">
        <v>3952</v>
      </c>
      <c r="B229" s="1218" t="s">
        <v>3955</v>
      </c>
      <c r="C229" s="1220">
        <v>0</v>
      </c>
      <c r="D229" s="1220">
        <v>84868.69</v>
      </c>
      <c r="E229" s="1220">
        <v>84868.69</v>
      </c>
      <c r="F229" s="1218" t="s">
        <v>1110</v>
      </c>
      <c r="G229" s="1218" t="s">
        <v>3954</v>
      </c>
      <c r="H229" s="1218" t="s">
        <v>3950</v>
      </c>
      <c r="I229" s="672"/>
      <c r="J229" s="663"/>
      <c r="K229" s="672"/>
      <c r="L229" s="653" t="str">
        <f t="shared" si="171"/>
        <v>5145</v>
      </c>
      <c r="M229" s="654" t="str">
        <f t="shared" si="172"/>
        <v>ID BUZZ</v>
      </c>
      <c r="N229" s="655">
        <f>+IF(OR($Q229=Parametres!$G$2,$Q229=Parametres!$G$3),I229,C229)</f>
        <v>0</v>
      </c>
      <c r="O229" s="655">
        <f>+IF(OR($Q229=Parametres!$G$2,$Q229=Parametres!$G$3),J229,D229)</f>
        <v>84868.69</v>
      </c>
      <c r="P229" s="655">
        <f>+IF(OR($Q229=Parametres!$G$2,$Q229=Parametres!$G$3),K229,E229)</f>
        <v>84868.69</v>
      </c>
      <c r="Q229" s="654" t="str">
        <f t="shared" si="173"/>
        <v>6-Coût des ventes</v>
      </c>
      <c r="R229" s="653" t="str">
        <f t="shared" si="174"/>
        <v>84137</v>
      </c>
      <c r="S229" s="654" t="str">
        <f t="shared" si="175"/>
        <v>_</v>
      </c>
      <c r="T229" s="656" t="str">
        <f>+VLOOKUP($L229,Data_Validation!$A:$D,1,0)</f>
        <v>5145</v>
      </c>
      <c r="U229" s="656" t="str">
        <f>+VLOOKUP($L229,Data_Validation!$A:$D,3,0)</f>
        <v>Véhicules neufs</v>
      </c>
      <c r="V229" s="656" t="str">
        <f>+VLOOKUP($L229,Data_Validation!$A:$D,4,0)</f>
        <v>Camions détail</v>
      </c>
      <c r="W229" s="656" t="str">
        <f>+VLOOKUP($L229,Data_Validation!$A:$E,5,0)</f>
        <v>$</v>
      </c>
      <c r="X229" s="656">
        <f>+VLOOKUP($L229,Data_Validation!$A:$F,6,0)</f>
        <v>0</v>
      </c>
    </row>
    <row r="230" spans="1:24" ht="15" customHeight="1">
      <c r="A230" s="1218" t="s">
        <v>1121</v>
      </c>
      <c r="B230" s="1218" t="s">
        <v>2113</v>
      </c>
      <c r="C230" s="1220">
        <v>3124982.04</v>
      </c>
      <c r="D230" s="1220">
        <v>685757</v>
      </c>
      <c r="E230" s="1220">
        <v>3810739.04</v>
      </c>
      <c r="F230" s="1218" t="s">
        <v>1110</v>
      </c>
      <c r="G230" s="1218" t="s">
        <v>1007</v>
      </c>
      <c r="H230" s="1218" t="s">
        <v>3950</v>
      </c>
      <c r="I230" s="670"/>
      <c r="J230" s="651"/>
      <c r="K230" s="670"/>
      <c r="L230" s="653" t="str">
        <f t="shared" si="171"/>
        <v>5201</v>
      </c>
      <c r="M230" s="654" t="str">
        <f t="shared" si="172"/>
        <v>C/V - VEH.USAGE VW DETAIL CERTIFIE</v>
      </c>
      <c r="N230" s="655">
        <f>+IF(OR($Q230=Parametres!$G$2,$Q230=Parametres!$G$3),I230,C230)</f>
        <v>3124982.04</v>
      </c>
      <c r="O230" s="655">
        <f>+IF(OR($Q230=Parametres!$G$2,$Q230=Parametres!$G$3),J230,D230)</f>
        <v>685757</v>
      </c>
      <c r="P230" s="655">
        <f>+IF(OR($Q230=Parametres!$G$2,$Q230=Parametres!$G$3),K230,E230)</f>
        <v>3810739.04</v>
      </c>
      <c r="Q230" s="654" t="str">
        <f t="shared" si="173"/>
        <v>6-Coût des ventes</v>
      </c>
      <c r="R230" s="653" t="str">
        <f t="shared" si="174"/>
        <v>4201</v>
      </c>
      <c r="S230" s="654" t="str">
        <f t="shared" si="175"/>
        <v>_</v>
      </c>
      <c r="T230" s="656" t="str">
        <f>+VLOOKUP($L230,Data_Validation!$A:$D,1,0)</f>
        <v>5201</v>
      </c>
      <c r="U230" s="656" t="str">
        <f>+VLOOKUP($L230,Data_Validation!$A:$D,3,0)</f>
        <v>Véhicules usagés</v>
      </c>
      <c r="V230" s="656" t="str">
        <f>+VLOOKUP($L230,Data_Validation!$A:$D,4,0)</f>
        <v>Certifié</v>
      </c>
      <c r="W230" s="656" t="str">
        <f>+VLOOKUP($L230,Data_Validation!$A:$E,5,0)</f>
        <v>$</v>
      </c>
      <c r="X230" s="656">
        <f>+VLOOKUP($L230,Data_Validation!$A:$F,6,0)</f>
        <v>0</v>
      </c>
    </row>
    <row r="231" spans="1:24" ht="15" customHeight="1">
      <c r="A231" s="1218" t="s">
        <v>1122</v>
      </c>
      <c r="B231" s="1218" t="s">
        <v>2116</v>
      </c>
      <c r="C231" s="1220">
        <v>291496.52</v>
      </c>
      <c r="D231" s="1220">
        <v>70275.87</v>
      </c>
      <c r="E231" s="1220">
        <v>361772.39</v>
      </c>
      <c r="F231" s="1218" t="s">
        <v>1110</v>
      </c>
      <c r="G231" s="1218" t="s">
        <v>1007</v>
      </c>
      <c r="H231" s="1218" t="s">
        <v>3950</v>
      </c>
      <c r="I231" s="652"/>
      <c r="J231" s="652"/>
      <c r="K231" s="652"/>
      <c r="L231" s="653" t="str">
        <f t="shared" si="171"/>
        <v>5203</v>
      </c>
      <c r="M231" s="654" t="str">
        <f t="shared" si="172"/>
        <v>C/V - RECOND USAGE VW CERT.</v>
      </c>
      <c r="N231" s="655">
        <f>+IF(OR($Q231=Parametres!$G$2,$Q231=Parametres!$G$3),I231,C231)</f>
        <v>291496.52</v>
      </c>
      <c r="O231" s="655">
        <f>+IF(OR($Q231=Parametres!$G$2,$Q231=Parametres!$G$3),J231,D231)</f>
        <v>70275.87</v>
      </c>
      <c r="P231" s="655">
        <f>+IF(OR($Q231=Parametres!$G$2,$Q231=Parametres!$G$3),K231,E231)</f>
        <v>361772.39</v>
      </c>
      <c r="Q231" s="654" t="str">
        <f t="shared" si="173"/>
        <v>6-Coût des ventes</v>
      </c>
      <c r="R231" s="653" t="str">
        <f t="shared" si="174"/>
        <v>4201</v>
      </c>
      <c r="S231" s="654" t="str">
        <f t="shared" si="175"/>
        <v>_</v>
      </c>
      <c r="T231" s="656" t="str">
        <f>+VLOOKUP($L231,Data_Validation!$A:$D,1,0)</f>
        <v>5203</v>
      </c>
      <c r="U231" s="656" t="str">
        <f>+VLOOKUP($L231,Data_Validation!$A:$D,3,0)</f>
        <v>Véhicules usagés</v>
      </c>
      <c r="V231" s="656" t="str">
        <f>+VLOOKUP($L231,Data_Validation!$A:$D,4,0)</f>
        <v>Certifié</v>
      </c>
      <c r="W231" s="656" t="str">
        <f>+VLOOKUP($L231,Data_Validation!$A:$E,5,0)</f>
        <v>$</v>
      </c>
      <c r="X231" s="656">
        <f>+VLOOKUP($L231,Data_Validation!$A:$F,6,0)</f>
        <v>0</v>
      </c>
    </row>
    <row r="232" spans="1:24" ht="15" customHeight="1">
      <c r="A232" s="1218" t="s">
        <v>1123</v>
      </c>
      <c r="B232" s="1218" t="s">
        <v>2122</v>
      </c>
      <c r="C232" s="1220">
        <v>86488.42</v>
      </c>
      <c r="D232" s="1220">
        <v>0</v>
      </c>
      <c r="E232" s="1220">
        <v>86488.42</v>
      </c>
      <c r="F232" s="1218" t="s">
        <v>1110</v>
      </c>
      <c r="G232" s="1218" t="s">
        <v>1011</v>
      </c>
      <c r="H232" s="1218" t="s">
        <v>3950</v>
      </c>
      <c r="I232" s="652"/>
      <c r="J232" s="652"/>
      <c r="K232" s="652"/>
      <c r="L232" s="653" t="str">
        <f t="shared" si="171"/>
        <v>5211</v>
      </c>
      <c r="M232" s="654" t="str">
        <f t="shared" si="172"/>
        <v>C/V - VW USAGES DETAIL</v>
      </c>
      <c r="N232" s="655">
        <f>+IF(OR($Q232=Parametres!$G$2,$Q232=Parametres!$G$3),I232,C232)</f>
        <v>86488.42</v>
      </c>
      <c r="O232" s="655">
        <f>+IF(OR($Q232=Parametres!$G$2,$Q232=Parametres!$G$3),J232,D232)</f>
        <v>0</v>
      </c>
      <c r="P232" s="655">
        <f>+IF(OR($Q232=Parametres!$G$2,$Q232=Parametres!$G$3),K232,E232)</f>
        <v>86488.42</v>
      </c>
      <c r="Q232" s="654" t="str">
        <f t="shared" si="173"/>
        <v>6-Coût des ventes</v>
      </c>
      <c r="R232" s="653" t="str">
        <f t="shared" si="174"/>
        <v>4211</v>
      </c>
      <c r="S232" s="654" t="str">
        <f t="shared" si="175"/>
        <v>_</v>
      </c>
      <c r="T232" s="656" t="str">
        <f>+VLOOKUP($L232,Data_Validation!$A:$D,1,0)</f>
        <v>5211</v>
      </c>
      <c r="U232" s="656" t="str">
        <f>+VLOOKUP($L232,Data_Validation!$A:$D,3,0)</f>
        <v>Véhicules usagés</v>
      </c>
      <c r="V232" s="656" t="str">
        <f>+VLOOKUP($L232,Data_Validation!$A:$D,4,0)</f>
        <v>Non Certifié</v>
      </c>
      <c r="W232" s="656" t="str">
        <f>+VLOOKUP($L232,Data_Validation!$A:$E,5,0)</f>
        <v>$</v>
      </c>
      <c r="X232" s="656">
        <f>+VLOOKUP($L232,Data_Validation!$A:$F,6,0)</f>
        <v>0</v>
      </c>
    </row>
    <row r="233" spans="1:24" ht="15" customHeight="1">
      <c r="A233" s="1218" t="s">
        <v>1124</v>
      </c>
      <c r="B233" s="1218" t="s">
        <v>2125</v>
      </c>
      <c r="C233" s="1220">
        <v>11665.72</v>
      </c>
      <c r="D233" s="1220">
        <v>0</v>
      </c>
      <c r="E233" s="1220">
        <v>11665.72</v>
      </c>
      <c r="F233" s="1218" t="s">
        <v>1110</v>
      </c>
      <c r="G233" s="1218" t="s">
        <v>1011</v>
      </c>
      <c r="H233" s="1218" t="s">
        <v>3950</v>
      </c>
      <c r="I233" s="660"/>
      <c r="J233" s="660"/>
      <c r="K233" s="660"/>
      <c r="L233" s="653" t="str">
        <f t="shared" si="171"/>
        <v>5213</v>
      </c>
      <c r="M233" s="654" t="str">
        <f t="shared" si="172"/>
        <v>C/V - RECOND. USAGE VW DETAIL</v>
      </c>
      <c r="N233" s="655">
        <f>+IF(OR($Q233=Parametres!$G$2,$Q233=Parametres!$G$3),I233,C233)</f>
        <v>11665.72</v>
      </c>
      <c r="O233" s="655">
        <f>+IF(OR($Q233=Parametres!$G$2,$Q233=Parametres!$G$3),J233,D233)</f>
        <v>0</v>
      </c>
      <c r="P233" s="655">
        <f>+IF(OR($Q233=Parametres!$G$2,$Q233=Parametres!$G$3),K233,E233)</f>
        <v>11665.72</v>
      </c>
      <c r="Q233" s="654" t="str">
        <f t="shared" si="173"/>
        <v>6-Coût des ventes</v>
      </c>
      <c r="R233" s="653" t="str">
        <f t="shared" si="174"/>
        <v>4211</v>
      </c>
      <c r="S233" s="654" t="str">
        <f t="shared" si="175"/>
        <v>_</v>
      </c>
      <c r="T233" s="656" t="str">
        <f>+VLOOKUP($L233,Data_Validation!$A:$D,1,0)</f>
        <v>5213</v>
      </c>
      <c r="U233" s="656" t="str">
        <f>+VLOOKUP($L233,Data_Validation!$A:$D,3,0)</f>
        <v>Véhicules usagés</v>
      </c>
      <c r="V233" s="656" t="str">
        <f>+VLOOKUP($L233,Data_Validation!$A:$D,4,0)</f>
        <v>Non Certifié</v>
      </c>
      <c r="W233" s="656" t="str">
        <f>+VLOOKUP($L233,Data_Validation!$A:$E,5,0)</f>
        <v>$</v>
      </c>
      <c r="X233" s="656">
        <f>+VLOOKUP($L233,Data_Validation!$A:$F,6,0)</f>
        <v>0</v>
      </c>
    </row>
    <row r="234" spans="1:24" ht="15.75" customHeight="1">
      <c r="A234" s="1218" t="s">
        <v>1014</v>
      </c>
      <c r="B234" s="1218" t="s">
        <v>2136</v>
      </c>
      <c r="C234" s="1220">
        <v>97428.85</v>
      </c>
      <c r="D234" s="1220">
        <v>0</v>
      </c>
      <c r="E234" s="1220">
        <v>97428.85</v>
      </c>
      <c r="F234" s="1218" t="s">
        <v>1110</v>
      </c>
      <c r="G234" s="1218" t="s">
        <v>1015</v>
      </c>
      <c r="H234" s="1218" t="s">
        <v>3950</v>
      </c>
      <c r="I234" s="652"/>
      <c r="J234" s="652"/>
      <c r="K234" s="652"/>
      <c r="L234" s="653" t="str">
        <f t="shared" si="171"/>
        <v>5285</v>
      </c>
      <c r="M234" s="654" t="str">
        <f t="shared" si="172"/>
        <v>VEH. D'OCC. AUTRE DETAIL</v>
      </c>
      <c r="N234" s="655">
        <f>+IF(OR($Q234=Parametres!$G$2,$Q234=Parametres!$G$3),I234,C234)</f>
        <v>97428.85</v>
      </c>
      <c r="O234" s="655">
        <f>+IF(OR($Q234=Parametres!$G$2,$Q234=Parametres!$G$3),J234,D234)</f>
        <v>0</v>
      </c>
      <c r="P234" s="655">
        <f>+IF(OR($Q234=Parametres!$G$2,$Q234=Parametres!$G$3),K234,E234)</f>
        <v>97428.85</v>
      </c>
      <c r="Q234" s="654" t="str">
        <f t="shared" si="173"/>
        <v>6-Coût des ventes</v>
      </c>
      <c r="R234" s="653" t="str">
        <f t="shared" si="174"/>
        <v>4261</v>
      </c>
      <c r="S234" s="654" t="str">
        <f t="shared" si="175"/>
        <v>_</v>
      </c>
      <c r="T234" s="656" t="str">
        <f>+VLOOKUP($L234,Data_Validation!$A:$D,1,0)</f>
        <v>5285</v>
      </c>
      <c r="U234" s="656" t="str">
        <f>+VLOOKUP($L234,Data_Validation!$A:$D,3,0)</f>
        <v>Véhicules usagés</v>
      </c>
      <c r="V234" s="656" t="str">
        <f>+VLOOKUP($L234,Data_Validation!$A:$D,4,0)</f>
        <v>Autres Marques</v>
      </c>
      <c r="W234" s="656" t="str">
        <f>+VLOOKUP($L234,Data_Validation!$A:$E,5,0)</f>
        <v>$</v>
      </c>
      <c r="X234" s="656">
        <f>+VLOOKUP($L234,Data_Validation!$A:$F,6,0)</f>
        <v>0</v>
      </c>
    </row>
    <row r="235" spans="1:24" ht="15" customHeight="1">
      <c r="A235" s="1218" t="s">
        <v>1125</v>
      </c>
      <c r="B235" s="1218" t="s">
        <v>2139</v>
      </c>
      <c r="C235" s="1220">
        <v>10625.86</v>
      </c>
      <c r="D235" s="1220">
        <v>0</v>
      </c>
      <c r="E235" s="1220">
        <v>10625.86</v>
      </c>
      <c r="F235" s="1218" t="s">
        <v>1110</v>
      </c>
      <c r="G235" s="1218" t="s">
        <v>1015</v>
      </c>
      <c r="H235" s="1218" t="s">
        <v>3950</v>
      </c>
      <c r="I235" s="652"/>
      <c r="J235" s="652"/>
      <c r="K235" s="652"/>
      <c r="L235" s="653" t="str">
        <f t="shared" si="171"/>
        <v>5286</v>
      </c>
      <c r="M235" s="654" t="str">
        <f t="shared" si="172"/>
        <v>RECOND. AUTRE DETAIL</v>
      </c>
      <c r="N235" s="655">
        <f>+IF(OR($Q235=Parametres!$G$2,$Q235=Parametres!$G$3),I235,C235)</f>
        <v>10625.86</v>
      </c>
      <c r="O235" s="655">
        <f>+IF(OR($Q235=Parametres!$G$2,$Q235=Parametres!$G$3),J235,D235)</f>
        <v>0</v>
      </c>
      <c r="P235" s="655">
        <f>+IF(OR($Q235=Parametres!$G$2,$Q235=Parametres!$G$3),K235,E235)</f>
        <v>10625.86</v>
      </c>
      <c r="Q235" s="654" t="str">
        <f t="shared" si="173"/>
        <v>6-Coût des ventes</v>
      </c>
      <c r="R235" s="653" t="str">
        <f t="shared" si="174"/>
        <v>4261</v>
      </c>
      <c r="S235" s="654" t="str">
        <f t="shared" si="175"/>
        <v>_</v>
      </c>
      <c r="T235" s="656" t="str">
        <f>+VLOOKUP($L235,Data_Validation!$A:$D,1,0)</f>
        <v>5286</v>
      </c>
      <c r="U235" s="656" t="str">
        <f>+VLOOKUP($L235,Data_Validation!$A:$D,3,0)</f>
        <v>Véhicules usagés</v>
      </c>
      <c r="V235" s="656" t="str">
        <f>+VLOOKUP($L235,Data_Validation!$A:$D,4,0)</f>
        <v>Non Certifié</v>
      </c>
      <c r="W235" s="656" t="str">
        <f>+VLOOKUP($L235,Data_Validation!$A:$E,5,0)</f>
        <v>$</v>
      </c>
      <c r="X235" s="656">
        <f>+VLOOKUP($L235,Data_Validation!$A:$F,6,0)</f>
        <v>0</v>
      </c>
    </row>
    <row r="236" spans="1:24" ht="15" customHeight="1">
      <c r="A236" s="1218" t="s">
        <v>1018</v>
      </c>
      <c r="B236" s="1218" t="s">
        <v>2142</v>
      </c>
      <c r="C236" s="1220">
        <v>1960297.82</v>
      </c>
      <c r="D236" s="1220">
        <v>846532.08</v>
      </c>
      <c r="E236" s="1220">
        <v>2806829.9</v>
      </c>
      <c r="F236" s="1218" t="s">
        <v>1110</v>
      </c>
      <c r="G236" s="1218" t="s">
        <v>1019</v>
      </c>
      <c r="H236" s="1218" t="s">
        <v>3950</v>
      </c>
      <c r="I236" s="652"/>
      <c r="J236" s="652"/>
      <c r="K236" s="652"/>
      <c r="L236" s="653" t="str">
        <f t="shared" si="171"/>
        <v>5291</v>
      </c>
      <c r="M236" s="654" t="str">
        <f t="shared" si="172"/>
        <v>VEH. D'OCC. AU GROS</v>
      </c>
      <c r="N236" s="655">
        <f>+IF(OR($Q236=Parametres!$G$2,$Q236=Parametres!$G$3),I236,C236)</f>
        <v>1960297.82</v>
      </c>
      <c r="O236" s="655">
        <f>+IF(OR($Q236=Parametres!$G$2,$Q236=Parametres!$G$3),J236,D236)</f>
        <v>846532.08</v>
      </c>
      <c r="P236" s="655">
        <f>+IF(OR($Q236=Parametres!$G$2,$Q236=Parametres!$G$3),K236,E236)</f>
        <v>2806829.9</v>
      </c>
      <c r="Q236" s="654" t="str">
        <f t="shared" si="173"/>
        <v>6-Coût des ventes</v>
      </c>
      <c r="R236" s="653" t="str">
        <f t="shared" si="174"/>
        <v>4281</v>
      </c>
      <c r="S236" s="654" t="str">
        <f t="shared" si="175"/>
        <v>_</v>
      </c>
      <c r="T236" s="656" t="str">
        <f>+VLOOKUP($L236,Data_Validation!$A:$D,1,0)</f>
        <v>5291</v>
      </c>
      <c r="U236" s="656" t="str">
        <f>+VLOOKUP($L236,Data_Validation!$A:$D,3,0)</f>
        <v>Véhicules usagés</v>
      </c>
      <c r="V236" s="656" t="str">
        <f>+VLOOKUP($L236,Data_Validation!$A:$D,4,0)</f>
        <v>Ventes au Gros</v>
      </c>
      <c r="W236" s="656" t="str">
        <f>+VLOOKUP($L236,Data_Validation!$A:$E,5,0)</f>
        <v>$</v>
      </c>
      <c r="X236" s="656">
        <f>+VLOOKUP($L236,Data_Validation!$A:$F,6,0)</f>
        <v>0</v>
      </c>
    </row>
    <row r="237" spans="1:24" ht="15" customHeight="1">
      <c r="A237" s="1218" t="s">
        <v>3671</v>
      </c>
      <c r="B237" s="1218" t="s">
        <v>2145</v>
      </c>
      <c r="C237" s="1220">
        <v>186780.83</v>
      </c>
      <c r="D237" s="1220">
        <v>28138.560000000001</v>
      </c>
      <c r="E237" s="1220">
        <v>214919.39</v>
      </c>
      <c r="F237" s="1218" t="s">
        <v>1110</v>
      </c>
      <c r="G237" s="1218" t="s">
        <v>1023</v>
      </c>
      <c r="H237" s="1218" t="s">
        <v>3950</v>
      </c>
      <c r="I237" s="670"/>
      <c r="J237" s="651"/>
      <c r="K237" s="670"/>
      <c r="L237" s="653" t="str">
        <f t="shared" si="171"/>
        <v>5401</v>
      </c>
      <c r="M237" s="654" t="str">
        <f t="shared" si="172"/>
        <v>MAIN-D'OEUVRE - CLIENT VW - MCI</v>
      </c>
      <c r="N237" s="655">
        <f>+IF(OR($Q237=Parametres!$G$2,$Q237=Parametres!$G$3),I237,C237)</f>
        <v>186780.83</v>
      </c>
      <c r="O237" s="659">
        <f>+IF(OR($Q237=Parametres!$G$2,$Q237=Parametres!$G$3),J237,D237)</f>
        <v>28138.560000000001</v>
      </c>
      <c r="P237" s="655">
        <f>+IF(OR($Q237=Parametres!$G$2,$Q237=Parametres!$G$3),K237,E237)</f>
        <v>214919.39</v>
      </c>
      <c r="Q237" s="654" t="str">
        <f t="shared" si="173"/>
        <v>6-Coût des ventes</v>
      </c>
      <c r="R237" s="653" t="str">
        <f t="shared" si="174"/>
        <v>4401</v>
      </c>
      <c r="S237" s="654" t="str">
        <f t="shared" si="175"/>
        <v>_</v>
      </c>
      <c r="T237" s="656" t="str">
        <f>+VLOOKUP($L237,Data_Validation!$A:$D,1,0)</f>
        <v>5401</v>
      </c>
      <c r="U237" s="656" t="str">
        <f>+VLOOKUP($L237,Data_Validation!$A:$D,3,0)</f>
        <v>Service</v>
      </c>
      <c r="V237" s="656" t="str">
        <f>+VLOOKUP($L237,Data_Validation!$A:$D,4,0)</f>
        <v>M/O Client</v>
      </c>
      <c r="W237" s="656" t="str">
        <f>+VLOOKUP($L237,Data_Validation!$A:$E,5,0)</f>
        <v>$</v>
      </c>
      <c r="X237" s="656">
        <f>+VLOOKUP($L237,Data_Validation!$A:$F,6,0)</f>
        <v>0</v>
      </c>
    </row>
    <row r="238" spans="1:24" ht="15.75" customHeight="1">
      <c r="A238" s="1218" t="s">
        <v>1127</v>
      </c>
      <c r="B238" s="1218" t="s">
        <v>2148</v>
      </c>
      <c r="C238" s="1220">
        <v>15230.02</v>
      </c>
      <c r="D238" s="1220">
        <v>1673.77</v>
      </c>
      <c r="E238" s="1220">
        <v>16903.79</v>
      </c>
      <c r="F238" s="1218" t="s">
        <v>1110</v>
      </c>
      <c r="G238" s="1218" t="s">
        <v>1026</v>
      </c>
      <c r="H238" s="1218" t="s">
        <v>3950</v>
      </c>
      <c r="I238" s="670"/>
      <c r="J238" s="670"/>
      <c r="K238" s="670"/>
      <c r="L238" s="653" t="str">
        <f t="shared" si="171"/>
        <v>5402</v>
      </c>
      <c r="M238" s="654" t="str">
        <f t="shared" si="172"/>
        <v>C/V - M.O. ESTHETIQUE CLIENT</v>
      </c>
      <c r="N238" s="655">
        <f>+IF(OR($Q238=Parametres!$G$2,$Q238=Parametres!$G$3),I238,C238)</f>
        <v>15230.02</v>
      </c>
      <c r="O238" s="659">
        <f>+IF(OR($Q238=Parametres!$G$2,$Q238=Parametres!$G$3),J238,D238)</f>
        <v>1673.77</v>
      </c>
      <c r="P238" s="655">
        <f>+IF(OR($Q238=Parametres!$G$2,$Q238=Parametres!$G$3),K238,E238)</f>
        <v>16903.79</v>
      </c>
      <c r="Q238" s="654" t="str">
        <f t="shared" si="173"/>
        <v>6-Coût des ventes</v>
      </c>
      <c r="R238" s="653" t="str">
        <f t="shared" si="174"/>
        <v>4402</v>
      </c>
      <c r="S238" s="654" t="str">
        <f t="shared" si="175"/>
        <v>_</v>
      </c>
      <c r="T238" s="656" t="str">
        <f>+VLOOKUP($L238,Data_Validation!$A:$D,1,0)</f>
        <v>5402</v>
      </c>
      <c r="U238" s="656" t="str">
        <f>+VLOOKUP($L238,Data_Validation!$A:$D,3,0)</f>
        <v>Service</v>
      </c>
      <c r="V238" s="656" t="str">
        <f>+VLOOKUP($L238,Data_Validation!$A:$D,4,0)</f>
        <v>M/O Esthétique</v>
      </c>
      <c r="W238" s="656" t="str">
        <f>+VLOOKUP($L238,Data_Validation!$A:$E,5,0)</f>
        <v>$</v>
      </c>
      <c r="X238" s="656">
        <f>+VLOOKUP($L238,Data_Validation!$A:$F,6,0)</f>
        <v>0</v>
      </c>
    </row>
    <row r="239" spans="1:24" ht="15" customHeight="1">
      <c r="A239" s="1218" t="s">
        <v>3672</v>
      </c>
      <c r="B239" s="1218" t="s">
        <v>2151</v>
      </c>
      <c r="C239" s="1220">
        <v>130802.15</v>
      </c>
      <c r="D239" s="1220">
        <v>25977.52</v>
      </c>
      <c r="E239" s="1220">
        <v>156779.67000000001</v>
      </c>
      <c r="F239" s="1218" t="s">
        <v>1110</v>
      </c>
      <c r="G239" s="1218" t="s">
        <v>1028</v>
      </c>
      <c r="H239" s="1218" t="s">
        <v>3950</v>
      </c>
      <c r="I239" s="652"/>
      <c r="J239" s="652"/>
      <c r="K239" s="652"/>
      <c r="L239" s="653" t="str">
        <f t="shared" si="171"/>
        <v>5403</v>
      </c>
      <c r="M239" s="654" t="str">
        <f t="shared" si="172"/>
        <v>MAIN-D'OEUVRE - GARANTIE VW - MCI</v>
      </c>
      <c r="N239" s="655">
        <f>+IF(OR($Q239=Parametres!$G$2,$Q239=Parametres!$G$3),I239,C239)</f>
        <v>130802.15</v>
      </c>
      <c r="O239" s="655">
        <f>+IF(OR($Q239=Parametres!$G$2,$Q239=Parametres!$G$3),J239,D239)</f>
        <v>25977.52</v>
      </c>
      <c r="P239" s="655">
        <f>+IF(OR($Q239=Parametres!$G$2,$Q239=Parametres!$G$3),K239,E239)</f>
        <v>156779.67000000001</v>
      </c>
      <c r="Q239" s="654" t="str">
        <f t="shared" si="173"/>
        <v>6-Coût des ventes</v>
      </c>
      <c r="R239" s="653" t="str">
        <f t="shared" si="174"/>
        <v>4403</v>
      </c>
      <c r="S239" s="654" t="str">
        <f t="shared" si="175"/>
        <v>_</v>
      </c>
      <c r="T239" s="656" t="str">
        <f>+VLOOKUP($L239,Data_Validation!$A:$D,1,0)</f>
        <v>5403</v>
      </c>
      <c r="U239" s="656" t="str">
        <f>+VLOOKUP($L239,Data_Validation!$A:$D,3,0)</f>
        <v>Service</v>
      </c>
      <c r="V239" s="656" t="str">
        <f>+VLOOKUP($L239,Data_Validation!$A:$D,4,0)</f>
        <v>M/O Garantie</v>
      </c>
      <c r="W239" s="656" t="str">
        <f>+VLOOKUP($L239,Data_Validation!$A:$E,5,0)</f>
        <v>$</v>
      </c>
      <c r="X239" s="656">
        <f>+VLOOKUP($L239,Data_Validation!$A:$F,6,0)</f>
        <v>0</v>
      </c>
    </row>
    <row r="240" spans="1:24" ht="15" customHeight="1">
      <c r="A240" s="1218" t="s">
        <v>3673</v>
      </c>
      <c r="B240" s="1218" t="s">
        <v>2154</v>
      </c>
      <c r="C240" s="1220">
        <v>99917.82</v>
      </c>
      <c r="D240" s="1220">
        <v>18577.240000000002</v>
      </c>
      <c r="E240" s="1220">
        <v>118495.06</v>
      </c>
      <c r="F240" s="1218" t="s">
        <v>1110</v>
      </c>
      <c r="G240" s="1218" t="s">
        <v>1031</v>
      </c>
      <c r="H240" s="1218" t="s">
        <v>3950</v>
      </c>
      <c r="I240" s="667"/>
      <c r="J240" s="667"/>
      <c r="K240" s="667"/>
      <c r="L240" s="653" t="str">
        <f t="shared" si="171"/>
        <v>5405</v>
      </c>
      <c r="M240" s="654" t="str">
        <f t="shared" si="172"/>
        <v>MAIN-D'OEUVRE - INTERNE VW - MCI</v>
      </c>
      <c r="N240" s="655">
        <f>+IF(OR($Q240=Parametres!$G$2,$Q240=Parametres!$G$3),I240,C240)</f>
        <v>99917.82</v>
      </c>
      <c r="O240" s="655">
        <f>+IF(OR($Q240=Parametres!$G$2,$Q240=Parametres!$G$3),J240,D240)</f>
        <v>18577.240000000002</v>
      </c>
      <c r="P240" s="655">
        <f>+IF(OR($Q240=Parametres!$G$2,$Q240=Parametres!$G$3),K240,E240)</f>
        <v>118495.06</v>
      </c>
      <c r="Q240" s="654" t="str">
        <f t="shared" si="173"/>
        <v>6-Coût des ventes</v>
      </c>
      <c r="R240" s="653" t="str">
        <f t="shared" si="174"/>
        <v>4405</v>
      </c>
      <c r="S240" s="654" t="str">
        <f t="shared" si="175"/>
        <v>_</v>
      </c>
      <c r="T240" s="656" t="str">
        <f>+VLOOKUP($L240,Data_Validation!$A:$D,1,0)</f>
        <v>5405</v>
      </c>
      <c r="U240" s="656" t="str">
        <f>+VLOOKUP($L240,Data_Validation!$A:$D,3,0)</f>
        <v>Service</v>
      </c>
      <c r="V240" s="656" t="str">
        <f>+VLOOKUP($L240,Data_Validation!$A:$D,4,0)</f>
        <v>M/O Interne</v>
      </c>
      <c r="W240" s="656" t="str">
        <f>+VLOOKUP($L240,Data_Validation!$A:$E,5,0)</f>
        <v>$</v>
      </c>
      <c r="X240" s="656">
        <f>+VLOOKUP($L240,Data_Validation!$A:$F,6,0)</f>
        <v>0</v>
      </c>
    </row>
    <row r="241" spans="1:24" ht="15" customHeight="1">
      <c r="A241" s="1218" t="s">
        <v>3681</v>
      </c>
      <c r="B241" s="1218" t="s">
        <v>2160</v>
      </c>
      <c r="C241" s="1220">
        <v>11663.31</v>
      </c>
      <c r="D241" s="1220">
        <v>1154.1300000000001</v>
      </c>
      <c r="E241" s="1220">
        <v>12817.44</v>
      </c>
      <c r="F241" s="1218" t="s">
        <v>1110</v>
      </c>
      <c r="G241" s="1218" t="s">
        <v>1131</v>
      </c>
      <c r="H241" s="1218" t="s">
        <v>3950</v>
      </c>
      <c r="I241" s="666"/>
      <c r="J241" s="666"/>
      <c r="K241" s="666"/>
      <c r="L241" s="653" t="str">
        <f t="shared" si="171"/>
        <v>5416</v>
      </c>
      <c r="M241" s="654" t="str">
        <f t="shared" si="172"/>
        <v>C/V - MAIN D'OEUVRE SVC NON APP - TOUS</v>
      </c>
      <c r="N241" s="655">
        <f>+IF(OR($Q241=Parametres!$G$2,$Q241=Parametres!$G$3),I241,C241)</f>
        <v>11663.31</v>
      </c>
      <c r="O241" s="655">
        <f>+IF(OR($Q241=Parametres!$G$2,$Q241=Parametres!$G$3),J241,D241)</f>
        <v>1154.1300000000001</v>
      </c>
      <c r="P241" s="655">
        <f>+IF(OR($Q241=Parametres!$G$2,$Q241=Parametres!$G$3),K241,E241)</f>
        <v>12817.44</v>
      </c>
      <c r="Q241" s="654" t="str">
        <f t="shared" si="173"/>
        <v>6-Coût des ventes</v>
      </c>
      <c r="R241" s="653" t="str">
        <f t="shared" si="174"/>
        <v>4416</v>
      </c>
      <c r="S241" s="654" t="str">
        <f t="shared" si="175"/>
        <v>_</v>
      </c>
      <c r="T241" s="656" t="str">
        <f>+VLOOKUP($L241,Data_Validation!$A:$D,1,0)</f>
        <v>5416</v>
      </c>
      <c r="U241" s="656" t="str">
        <f>+VLOOKUP($L241,Data_Validation!$A:$D,3,0)</f>
        <v>Service</v>
      </c>
      <c r="V241" s="656" t="str">
        <f>+VLOOKUP($L241,Data_Validation!$A:$D,4,0)</f>
        <v>Ajustement M/O</v>
      </c>
      <c r="W241" s="656" t="str">
        <f>+VLOOKUP($L241,Data_Validation!$A:$E,5,0)</f>
        <v>$</v>
      </c>
      <c r="X241" s="656">
        <f>+VLOOKUP($L241,Data_Validation!$A:$F,6,0)</f>
        <v>0</v>
      </c>
    </row>
    <row r="242" spans="1:24" ht="15" customHeight="1">
      <c r="A242" s="1218" t="s">
        <v>1033</v>
      </c>
      <c r="B242" s="1218" t="s">
        <v>2166</v>
      </c>
      <c r="C242" s="1220">
        <v>94234</v>
      </c>
      <c r="D242" s="1220">
        <v>18315.580000000002</v>
      </c>
      <c r="E242" s="1220">
        <v>112549.58</v>
      </c>
      <c r="F242" s="1218" t="s">
        <v>1110</v>
      </c>
      <c r="G242" s="1218" t="s">
        <v>1034</v>
      </c>
      <c r="H242" s="1218" t="s">
        <v>3950</v>
      </c>
      <c r="I242" s="666"/>
      <c r="J242" s="666"/>
      <c r="K242" s="666"/>
      <c r="L242" s="653" t="str">
        <f t="shared" si="171"/>
        <v>5451</v>
      </c>
      <c r="M242" s="654" t="str">
        <f t="shared" si="172"/>
        <v>CARBURANT/HUILE/GRAISSE</v>
      </c>
      <c r="N242" s="655">
        <f>+IF(OR($Q242=Parametres!$G$2,$Q242=Parametres!$G$3),I242,C242)</f>
        <v>94234</v>
      </c>
      <c r="O242" s="655">
        <f>+IF(OR($Q242=Parametres!$G$2,$Q242=Parametres!$G$3),J242,D242)</f>
        <v>18315.580000000002</v>
      </c>
      <c r="P242" s="655">
        <f>+IF(OR($Q242=Parametres!$G$2,$Q242=Parametres!$G$3),K242,E242)</f>
        <v>112549.58</v>
      </c>
      <c r="Q242" s="654" t="str">
        <f t="shared" si="173"/>
        <v>6-Coût des ventes</v>
      </c>
      <c r="R242" s="653" t="str">
        <f t="shared" si="174"/>
        <v>4782</v>
      </c>
      <c r="S242" s="654" t="str">
        <f t="shared" si="175"/>
        <v>_</v>
      </c>
      <c r="T242" s="656" t="str">
        <f>+VLOOKUP($L242,Data_Validation!$A:$D,1,0)</f>
        <v>5451</v>
      </c>
      <c r="U242" s="656" t="str">
        <f>+VLOOKUP($L242,Data_Validation!$A:$D,3,0)</f>
        <v>Pièces</v>
      </c>
      <c r="V242" s="656" t="str">
        <f>+VLOOKUP($L242,Data_Validation!$A:$D,4,0)</f>
        <v>Huiles et Graisse</v>
      </c>
      <c r="W242" s="656" t="str">
        <f>+VLOOKUP($L242,Data_Validation!$A:$E,5,0)</f>
        <v>$</v>
      </c>
      <c r="X242" s="656">
        <f>+VLOOKUP($L242,Data_Validation!$A:$F,6,0)</f>
        <v>0</v>
      </c>
    </row>
    <row r="243" spans="1:24" ht="15.75" customHeight="1">
      <c r="A243" s="1218" t="s">
        <v>1036</v>
      </c>
      <c r="B243" s="1218" t="s">
        <v>2169</v>
      </c>
      <c r="C243" s="1220">
        <v>25862.5</v>
      </c>
      <c r="D243" s="1220">
        <v>6628.14</v>
      </c>
      <c r="E243" s="1220">
        <v>32490.639999999999</v>
      </c>
      <c r="F243" s="1218" t="s">
        <v>1110</v>
      </c>
      <c r="G243" s="1218" t="s">
        <v>1037</v>
      </c>
      <c r="H243" s="1218" t="s">
        <v>3950</v>
      </c>
      <c r="I243" s="667"/>
      <c r="J243" s="667"/>
      <c r="K243" s="667"/>
      <c r="L243" s="653" t="str">
        <f t="shared" si="171"/>
        <v>5491</v>
      </c>
      <c r="M243" s="654" t="str">
        <f t="shared" si="172"/>
        <v>REPARATION SOUS-LOC. - GENERAL</v>
      </c>
      <c r="N243" s="655">
        <f>+IF(OR($Q243=Parametres!$G$2,$Q243=Parametres!$G$3),I243,C243)</f>
        <v>25862.5</v>
      </c>
      <c r="O243" s="659">
        <f>+IF(OR($Q243=Parametres!$G$2,$Q243=Parametres!$G$3),J243,D243)</f>
        <v>6628.14</v>
      </c>
      <c r="P243" s="655">
        <f>+IF(OR($Q243=Parametres!$G$2,$Q243=Parametres!$G$3),K243,E243)</f>
        <v>32490.639999999999</v>
      </c>
      <c r="Q243" s="654" t="str">
        <f t="shared" si="173"/>
        <v>6-Coût des ventes</v>
      </c>
      <c r="R243" s="653" t="str">
        <f t="shared" si="174"/>
        <v>4491</v>
      </c>
      <c r="S243" s="654" t="str">
        <f t="shared" si="175"/>
        <v>_</v>
      </c>
      <c r="T243" s="656" t="str">
        <f>+VLOOKUP($L243,Data_Validation!$A:$D,1,0)</f>
        <v>5491</v>
      </c>
      <c r="U243" s="656" t="str">
        <f>+VLOOKUP($L243,Data_Validation!$A:$D,3,0)</f>
        <v>Service</v>
      </c>
      <c r="V243" s="656" t="str">
        <f>+VLOOKUP($L243,Data_Validation!$A:$D,4,0)</f>
        <v>Sous-traitement</v>
      </c>
      <c r="W243" s="656" t="str">
        <f>+VLOOKUP($L243,Data_Validation!$A:$E,5,0)</f>
        <v>$</v>
      </c>
      <c r="X243" s="656">
        <f>+VLOOKUP($L243,Data_Validation!$A:$F,6,0)</f>
        <v>0</v>
      </c>
    </row>
    <row r="244" spans="1:24" ht="15" customHeight="1">
      <c r="A244" s="1218" t="s">
        <v>1132</v>
      </c>
      <c r="B244" s="1218" t="s">
        <v>2172</v>
      </c>
      <c r="C244" s="1220">
        <v>16711.240000000002</v>
      </c>
      <c r="D244" s="1220">
        <v>2987.89</v>
      </c>
      <c r="E244" s="1220">
        <v>19699.13</v>
      </c>
      <c r="F244" s="1218" t="s">
        <v>1110</v>
      </c>
      <c r="G244" s="1218" t="s">
        <v>1040</v>
      </c>
      <c r="H244" s="1218" t="s">
        <v>3950</v>
      </c>
      <c r="I244" s="666"/>
      <c r="J244" s="666"/>
      <c r="K244" s="666"/>
      <c r="L244" s="653" t="str">
        <f t="shared" ref="L244:L307" si="176">TEXT(B244,0)</f>
        <v>5493</v>
      </c>
      <c r="M244" s="654" t="str">
        <f t="shared" ref="M244:M307" si="177">+A244</f>
        <v>C/V - SOUS-TRAITANCE GARANTIE</v>
      </c>
      <c r="N244" s="655">
        <f>+IF(OR($Q244=Parametres!$G$2,$Q244=Parametres!$G$3),I244,C244)</f>
        <v>16711.240000000002</v>
      </c>
      <c r="O244" s="655">
        <f>+IF(OR($Q244=Parametres!$G$2,$Q244=Parametres!$G$3),J244,D244)</f>
        <v>2987.89</v>
      </c>
      <c r="P244" s="655">
        <f>+IF(OR($Q244=Parametres!$G$2,$Q244=Parametres!$G$3),K244,E244)</f>
        <v>19699.13</v>
      </c>
      <c r="Q244" s="654" t="str">
        <f t="shared" ref="Q244:Q307" si="178">+F244</f>
        <v>6-Coût des ventes</v>
      </c>
      <c r="R244" s="653" t="str">
        <f t="shared" ref="R244:R307" si="179">+G244</f>
        <v>4493</v>
      </c>
      <c r="S244" s="654" t="str">
        <f t="shared" ref="S244:S307" si="180">+H244</f>
        <v>_</v>
      </c>
      <c r="T244" s="671" t="str">
        <f>+VLOOKUP($L244,Data_Validation!$A:$D,1,0)</f>
        <v>5493</v>
      </c>
      <c r="U244" s="656" t="str">
        <f>+VLOOKUP($L244,Data_Validation!$A:$D,3,0)</f>
        <v>Service</v>
      </c>
      <c r="V244" s="656" t="str">
        <f>+VLOOKUP($L244,Data_Validation!$A:$D,4,0)</f>
        <v>Sous-traitement</v>
      </c>
      <c r="W244" s="656" t="str">
        <f>+VLOOKUP($L244,Data_Validation!$A:$E,5,0)</f>
        <v>$</v>
      </c>
      <c r="X244" s="656">
        <f>+VLOOKUP($L244,Data_Validation!$A:$F,6,0)</f>
        <v>0</v>
      </c>
    </row>
    <row r="245" spans="1:24" ht="15" customHeight="1">
      <c r="A245" s="1218" t="s">
        <v>1133</v>
      </c>
      <c r="B245" s="1218" t="s">
        <v>2175</v>
      </c>
      <c r="C245" s="1220">
        <v>45207.27</v>
      </c>
      <c r="D245" s="1220">
        <v>8993</v>
      </c>
      <c r="E245" s="1220">
        <v>54200.27</v>
      </c>
      <c r="F245" s="1218" t="s">
        <v>1110</v>
      </c>
      <c r="G245" s="1218" t="s">
        <v>1044</v>
      </c>
      <c r="H245" s="1218" t="s">
        <v>3950</v>
      </c>
      <c r="I245" s="667"/>
      <c r="J245" s="667"/>
      <c r="K245" s="667"/>
      <c r="L245" s="653" t="str">
        <f t="shared" si="176"/>
        <v>5495</v>
      </c>
      <c r="M245" s="654" t="str">
        <f t="shared" si="177"/>
        <v>C/V - SOUS-TRAITANCE INTERNE</v>
      </c>
      <c r="N245" s="655">
        <f>+IF(OR($Q245=Parametres!$G$2,$Q245=Parametres!$G$3),I245,C245)</f>
        <v>45207.27</v>
      </c>
      <c r="O245" s="655">
        <f>+IF(OR($Q245=Parametres!$G$2,$Q245=Parametres!$G$3),J245,D245)</f>
        <v>8993</v>
      </c>
      <c r="P245" s="655">
        <f>+IF(OR($Q245=Parametres!$G$2,$Q245=Parametres!$G$3),K245,E245)</f>
        <v>54200.27</v>
      </c>
      <c r="Q245" s="654" t="str">
        <f t="shared" si="178"/>
        <v>6-Coût des ventes</v>
      </c>
      <c r="R245" s="653" t="str">
        <f t="shared" si="179"/>
        <v>4495</v>
      </c>
      <c r="S245" s="654" t="str">
        <f t="shared" si="180"/>
        <v>_</v>
      </c>
      <c r="T245" s="656" t="str">
        <f>+VLOOKUP($L245,Data_Validation!$A:$D,1,0)</f>
        <v>5495</v>
      </c>
      <c r="U245" s="656" t="str">
        <f>+VLOOKUP($L245,Data_Validation!$A:$D,3,0)</f>
        <v>Service</v>
      </c>
      <c r="V245" s="656" t="str">
        <f>+VLOOKUP($L245,Data_Validation!$A:$D,4,0)</f>
        <v>Sous-traitement</v>
      </c>
      <c r="W245" s="656" t="str">
        <f>+VLOOKUP($L245,Data_Validation!$A:$E,5,0)</f>
        <v>$</v>
      </c>
      <c r="X245" s="656">
        <f>+VLOOKUP($L245,Data_Validation!$A:$F,6,0)</f>
        <v>0</v>
      </c>
    </row>
    <row r="246" spans="1:24" ht="15" customHeight="1">
      <c r="A246" s="1218" t="s">
        <v>3428</v>
      </c>
      <c r="B246" s="1218" t="s">
        <v>3429</v>
      </c>
      <c r="C246" s="1220">
        <v>16327.26</v>
      </c>
      <c r="D246" s="1220">
        <v>1609.81</v>
      </c>
      <c r="E246" s="1220">
        <v>17937.07</v>
      </c>
      <c r="F246" s="1218" t="s">
        <v>1110</v>
      </c>
      <c r="G246" s="1218" t="s">
        <v>3427</v>
      </c>
      <c r="H246" s="1218" t="s">
        <v>3950</v>
      </c>
      <c r="I246" s="666"/>
      <c r="J246" s="666"/>
      <c r="K246" s="666"/>
      <c r="L246" s="653" t="str">
        <f t="shared" si="176"/>
        <v>5505</v>
      </c>
      <c r="M246" s="654" t="str">
        <f t="shared" si="177"/>
        <v>C/V - M.O. INTERNE CARROSSERIE</v>
      </c>
      <c r="N246" s="655">
        <f>+IF(OR($Q246=Parametres!$G$2,$Q246=Parametres!$G$3),I246,C246)</f>
        <v>16327.26</v>
      </c>
      <c r="O246" s="655">
        <f>+IF(OR($Q246=Parametres!$G$2,$Q246=Parametres!$G$3),J246,D246)</f>
        <v>1609.81</v>
      </c>
      <c r="P246" s="655">
        <f>+IF(OR($Q246=Parametres!$G$2,$Q246=Parametres!$G$3),K246,E246)</f>
        <v>17937.07</v>
      </c>
      <c r="Q246" s="654" t="str">
        <f t="shared" si="178"/>
        <v>6-Coût des ventes</v>
      </c>
      <c r="R246" s="653" t="str">
        <f t="shared" si="179"/>
        <v>4505</v>
      </c>
      <c r="S246" s="654" t="str">
        <f t="shared" si="180"/>
        <v>_</v>
      </c>
      <c r="T246" s="656" t="str">
        <f>+VLOOKUP($L246,Data_Validation!$A:$D,1,0)</f>
        <v>5505</v>
      </c>
      <c r="U246" s="656" t="str">
        <f>+VLOOKUP($L246,Data_Validation!$A:$D,3,0)</f>
        <v>Service</v>
      </c>
      <c r="V246" s="656" t="str">
        <f>+VLOOKUP($L246,Data_Validation!$A:$D,4,0)</f>
        <v>M.O. Recond. MCPA</v>
      </c>
      <c r="W246" s="656" t="str">
        <f>+VLOOKUP($L246,Data_Validation!$A:$E,5,0)</f>
        <v>$</v>
      </c>
      <c r="X246" s="656">
        <f>+VLOOKUP($L246,Data_Validation!$A:$F,6,0)</f>
        <v>0</v>
      </c>
    </row>
    <row r="247" spans="1:24" ht="15.75" customHeight="1">
      <c r="A247" s="1218" t="s">
        <v>1134</v>
      </c>
      <c r="B247" s="1218" t="s">
        <v>2184</v>
      </c>
      <c r="C247" s="1220">
        <v>5134.75</v>
      </c>
      <c r="D247" s="1220">
        <v>0</v>
      </c>
      <c r="E247" s="1220">
        <v>5134.75</v>
      </c>
      <c r="F247" s="1218" t="s">
        <v>1110</v>
      </c>
      <c r="G247" s="1218" t="s">
        <v>1051</v>
      </c>
      <c r="H247" s="1218" t="s">
        <v>3950</v>
      </c>
      <c r="I247" s="667"/>
      <c r="J247" s="667"/>
      <c r="K247" s="667"/>
      <c r="L247" s="653" t="str">
        <f t="shared" si="176"/>
        <v>5591</v>
      </c>
      <c r="M247" s="654" t="str">
        <f t="shared" si="177"/>
        <v>C/V - S-TRAIT. CARR.</v>
      </c>
      <c r="N247" s="655">
        <f>+IF(OR($Q247=Parametres!$G$2,$Q247=Parametres!$G$3),I247,C247)</f>
        <v>5134.75</v>
      </c>
      <c r="O247" s="655">
        <f>+IF(OR($Q247=Parametres!$G$2,$Q247=Parametres!$G$3),J247,D247)</f>
        <v>0</v>
      </c>
      <c r="P247" s="655">
        <f>+IF(OR($Q247=Parametres!$G$2,$Q247=Parametres!$G$3),K247,E247)</f>
        <v>5134.75</v>
      </c>
      <c r="Q247" s="654" t="str">
        <f t="shared" si="178"/>
        <v>6-Coût des ventes</v>
      </c>
      <c r="R247" s="653" t="str">
        <f t="shared" si="179"/>
        <v>4591</v>
      </c>
      <c r="S247" s="654" t="str">
        <f t="shared" si="180"/>
        <v>_</v>
      </c>
      <c r="T247" s="656" t="str">
        <f>+VLOOKUP($L247,Data_Validation!$A:$D,1,0)</f>
        <v>5591</v>
      </c>
      <c r="U247" s="656" t="str">
        <f>+VLOOKUP($L247,Data_Validation!$A:$D,3,0)</f>
        <v>Carrosserie</v>
      </c>
      <c r="V247" s="656" t="str">
        <f>+VLOOKUP($L247,Data_Validation!$A:$D,4,0)</f>
        <v>M/O Sous-traitement</v>
      </c>
      <c r="W247" s="656" t="str">
        <f>+VLOOKUP($L247,Data_Validation!$A:$E,5,0)</f>
        <v>$</v>
      </c>
      <c r="X247" s="656">
        <f>+VLOOKUP($L247,Data_Validation!$A:$F,6,0)</f>
        <v>0</v>
      </c>
    </row>
    <row r="248" spans="1:24" ht="15" customHeight="1">
      <c r="A248" s="1218" t="s">
        <v>1135</v>
      </c>
      <c r="B248" s="1218" t="s">
        <v>2187</v>
      </c>
      <c r="C248" s="1220">
        <v>61231.07</v>
      </c>
      <c r="D248" s="1220">
        <v>40968.480000000003</v>
      </c>
      <c r="E248" s="1220">
        <v>102199.55</v>
      </c>
      <c r="F248" s="1218" t="s">
        <v>1110</v>
      </c>
      <c r="G248" s="1218" t="s">
        <v>1055</v>
      </c>
      <c r="H248" s="1218" t="s">
        <v>3950</v>
      </c>
      <c r="I248" s="666"/>
      <c r="J248" s="666"/>
      <c r="K248" s="666"/>
      <c r="L248" s="653" t="str">
        <f t="shared" si="176"/>
        <v>5593</v>
      </c>
      <c r="M248" s="654" t="str">
        <f t="shared" si="177"/>
        <v>C/V - S-TRAIT.GARANTIE CARROS.</v>
      </c>
      <c r="N248" s="655">
        <f>+IF(OR($Q248=Parametres!$G$2,$Q248=Parametres!$G$3),I248,C248)</f>
        <v>61231.07</v>
      </c>
      <c r="O248" s="655">
        <f>+IF(OR($Q248=Parametres!$G$2,$Q248=Parametres!$G$3),J248,D248)</f>
        <v>40968.480000000003</v>
      </c>
      <c r="P248" s="655">
        <f>+IF(OR($Q248=Parametres!$G$2,$Q248=Parametres!$G$3),K248,E248)</f>
        <v>102199.55</v>
      </c>
      <c r="Q248" s="654" t="str">
        <f t="shared" si="178"/>
        <v>6-Coût des ventes</v>
      </c>
      <c r="R248" s="653" t="str">
        <f t="shared" si="179"/>
        <v>4593</v>
      </c>
      <c r="S248" s="654" t="str">
        <f t="shared" si="180"/>
        <v>_</v>
      </c>
      <c r="T248" s="656" t="str">
        <f>+VLOOKUP($L248,Data_Validation!$A:$D,1,0)</f>
        <v>5593</v>
      </c>
      <c r="U248" s="656" t="str">
        <f>+VLOOKUP($L248,Data_Validation!$A:$D,3,0)</f>
        <v>Carrosserie</v>
      </c>
      <c r="V248" s="656" t="str">
        <f>+VLOOKUP($L248,Data_Validation!$A:$D,4,0)</f>
        <v>M/O Sous-traitement</v>
      </c>
      <c r="W248" s="656" t="str">
        <f>+VLOOKUP($L248,Data_Validation!$A:$E,5,0)</f>
        <v>$</v>
      </c>
      <c r="X248" s="656">
        <f>+VLOOKUP($L248,Data_Validation!$A:$F,6,0)</f>
        <v>0</v>
      </c>
    </row>
    <row r="249" spans="1:24" ht="15" customHeight="1">
      <c r="A249" s="1218" t="s">
        <v>1136</v>
      </c>
      <c r="B249" s="1218" t="s">
        <v>2190</v>
      </c>
      <c r="C249" s="1220">
        <v>4740.22</v>
      </c>
      <c r="D249" s="1220">
        <v>0</v>
      </c>
      <c r="E249" s="1220">
        <v>4740.22</v>
      </c>
      <c r="F249" s="1218" t="s">
        <v>1110</v>
      </c>
      <c r="G249" s="1218" t="s">
        <v>1059</v>
      </c>
      <c r="H249" s="1218" t="s">
        <v>3950</v>
      </c>
      <c r="I249" s="667"/>
      <c r="J249" s="667"/>
      <c r="K249" s="667"/>
      <c r="L249" s="653" t="str">
        <f t="shared" si="176"/>
        <v>5595</v>
      </c>
      <c r="M249" s="654" t="str">
        <f t="shared" si="177"/>
        <v>C/V - S-TRAIT.INTERNE CARROS.</v>
      </c>
      <c r="N249" s="655">
        <f>+IF(OR($Q249=Parametres!$G$2,$Q249=Parametres!$G$3),I249,C249)</f>
        <v>4740.22</v>
      </c>
      <c r="O249" s="655">
        <f>+IF(OR($Q249=Parametres!$G$2,$Q249=Parametres!$G$3),J249,D249)</f>
        <v>0</v>
      </c>
      <c r="P249" s="655">
        <f>+IF(OR($Q249=Parametres!$G$2,$Q249=Parametres!$G$3),K249,E249)</f>
        <v>4740.22</v>
      </c>
      <c r="Q249" s="654" t="str">
        <f t="shared" si="178"/>
        <v>6-Coût des ventes</v>
      </c>
      <c r="R249" s="653" t="str">
        <f t="shared" si="179"/>
        <v>4595</v>
      </c>
      <c r="S249" s="654" t="str">
        <f t="shared" si="180"/>
        <v>_</v>
      </c>
      <c r="T249" s="656" t="str">
        <f>+VLOOKUP($L249,Data_Validation!$A:$D,1,0)</f>
        <v>5595</v>
      </c>
      <c r="U249" s="656" t="str">
        <f>+VLOOKUP($L249,Data_Validation!$A:$D,3,0)</f>
        <v>Carrosserie</v>
      </c>
      <c r="V249" s="656" t="str">
        <f>+VLOOKUP($L249,Data_Validation!$A:$D,4,0)</f>
        <v>M/O Sous-traitement</v>
      </c>
      <c r="W249" s="656" t="str">
        <f>+VLOOKUP($L249,Data_Validation!$A:$E,5,0)</f>
        <v>$</v>
      </c>
      <c r="X249" s="656">
        <f>+VLOOKUP($L249,Data_Validation!$A:$F,6,0)</f>
        <v>0</v>
      </c>
    </row>
    <row r="250" spans="1:24" ht="15" customHeight="1">
      <c r="A250" s="1218" t="s">
        <v>3674</v>
      </c>
      <c r="B250" s="1218" t="s">
        <v>2193</v>
      </c>
      <c r="C250" s="1220">
        <v>316881.77</v>
      </c>
      <c r="D250" s="1220">
        <v>54780.19</v>
      </c>
      <c r="E250" s="1220">
        <v>371661.96</v>
      </c>
      <c r="F250" s="1218" t="s">
        <v>1110</v>
      </c>
      <c r="G250" s="1218" t="s">
        <v>1063</v>
      </c>
      <c r="H250" s="1218" t="s">
        <v>3950</v>
      </c>
      <c r="I250" s="666"/>
      <c r="J250" s="666"/>
      <c r="K250" s="666"/>
      <c r="L250" s="653" t="str">
        <f t="shared" si="176"/>
        <v>5701</v>
      </c>
      <c r="M250" s="654" t="str">
        <f t="shared" si="177"/>
        <v>VW P&amp;A - BR - CLIENT - MCI</v>
      </c>
      <c r="N250" s="655">
        <f>+IF(OR($Q250=Parametres!$G$2,$Q250=Parametres!$G$3),I250,C250)</f>
        <v>316881.77</v>
      </c>
      <c r="O250" s="655">
        <f>+IF(OR($Q250=Parametres!$G$2,$Q250=Parametres!$G$3),J250,D250)</f>
        <v>54780.19</v>
      </c>
      <c r="P250" s="655">
        <f>+IF(OR($Q250=Parametres!$G$2,$Q250=Parametres!$G$3),K250,E250)</f>
        <v>371661.96</v>
      </c>
      <c r="Q250" s="654" t="str">
        <f t="shared" si="178"/>
        <v>6-Coût des ventes</v>
      </c>
      <c r="R250" s="653" t="str">
        <f t="shared" si="179"/>
        <v>4701</v>
      </c>
      <c r="S250" s="654" t="str">
        <f t="shared" si="180"/>
        <v>_</v>
      </c>
      <c r="T250" s="656" t="str">
        <f>+VLOOKUP($L250,Data_Validation!$A:$D,1,0)</f>
        <v>5701</v>
      </c>
      <c r="U250" s="656" t="str">
        <f>+VLOOKUP($L250,Data_Validation!$A:$D,3,0)</f>
        <v>Pièces</v>
      </c>
      <c r="V250" s="656" t="str">
        <f>+VLOOKUP($L250,Data_Validation!$A:$D,4,0)</f>
        <v>Pièces Ro Clients</v>
      </c>
      <c r="W250" s="656" t="str">
        <f>+VLOOKUP($L250,Data_Validation!$A:$E,5,0)</f>
        <v>$</v>
      </c>
      <c r="X250" s="656">
        <f>+VLOOKUP($L250,Data_Validation!$A:$F,6,0)</f>
        <v>0</v>
      </c>
    </row>
    <row r="251" spans="1:24" ht="15" customHeight="1">
      <c r="A251" s="1218" t="s">
        <v>1138</v>
      </c>
      <c r="B251" s="1218" t="s">
        <v>2196</v>
      </c>
      <c r="C251" s="1220">
        <v>2719.11</v>
      </c>
      <c r="D251" s="1220">
        <v>435.91</v>
      </c>
      <c r="E251" s="1220">
        <v>3155.02</v>
      </c>
      <c r="F251" s="1218" t="s">
        <v>1110</v>
      </c>
      <c r="G251" s="1218" t="s">
        <v>1067</v>
      </c>
      <c r="H251" s="1218" t="s">
        <v>3950</v>
      </c>
      <c r="I251" s="652"/>
      <c r="J251" s="652"/>
      <c r="K251" s="652"/>
      <c r="L251" s="653" t="str">
        <f t="shared" si="176"/>
        <v>5702</v>
      </c>
      <c r="M251" s="654" t="str">
        <f t="shared" si="177"/>
        <v>C/V - SHOP SUPPLY VW</v>
      </c>
      <c r="N251" s="655">
        <f>+IF(OR($Q251=Parametres!$G$2,$Q251=Parametres!$G$3),I251,C251)</f>
        <v>2719.11</v>
      </c>
      <c r="O251" s="655">
        <f>+IF(OR($Q251=Parametres!$G$2,$Q251=Parametres!$G$3),J251,D251)</f>
        <v>435.91</v>
      </c>
      <c r="P251" s="655">
        <f>+IF(OR($Q251=Parametres!$G$2,$Q251=Parametres!$G$3),K251,E251)</f>
        <v>3155.02</v>
      </c>
      <c r="Q251" s="654" t="str">
        <f t="shared" si="178"/>
        <v>6-Coût des ventes</v>
      </c>
      <c r="R251" s="653" t="str">
        <f t="shared" si="179"/>
        <v>4702</v>
      </c>
      <c r="S251" s="654" t="str">
        <f t="shared" si="180"/>
        <v>_</v>
      </c>
      <c r="T251" s="656" t="str">
        <f>+VLOOKUP($L251,Data_Validation!$A:$D,1,0)</f>
        <v>5702</v>
      </c>
      <c r="U251" s="656" t="str">
        <f>+VLOOKUP($L251,Data_Validation!$A:$D,3,0)</f>
        <v>Service</v>
      </c>
      <c r="V251" s="656" t="str">
        <f>+VLOOKUP($L251,Data_Validation!$A:$D,4,0)</f>
        <v>M/O Client</v>
      </c>
      <c r="W251" s="656" t="str">
        <f>+VLOOKUP($L251,Data_Validation!$A:$E,5,0)</f>
        <v>$</v>
      </c>
      <c r="X251" s="656">
        <f>+VLOOKUP($L251,Data_Validation!$A:$F,6,0)</f>
        <v>0</v>
      </c>
    </row>
    <row r="252" spans="1:24" ht="15.75" customHeight="1">
      <c r="A252" s="1218" t="s">
        <v>3675</v>
      </c>
      <c r="B252" s="1218" t="s">
        <v>2199</v>
      </c>
      <c r="C252" s="1220">
        <v>398381.7</v>
      </c>
      <c r="D252" s="1220">
        <v>73004.38</v>
      </c>
      <c r="E252" s="1220">
        <v>471386.08</v>
      </c>
      <c r="F252" s="1218" t="s">
        <v>1110</v>
      </c>
      <c r="G252" s="1218" t="s">
        <v>1069</v>
      </c>
      <c r="H252" s="1218" t="s">
        <v>3950</v>
      </c>
      <c r="I252" s="670"/>
      <c r="J252" s="651"/>
      <c r="K252" s="670"/>
      <c r="L252" s="653" t="str">
        <f t="shared" si="176"/>
        <v>5703</v>
      </c>
      <c r="M252" s="654" t="str">
        <f t="shared" si="177"/>
        <v>VW P&amp;A - BR - GARANTIE - MCI</v>
      </c>
      <c r="N252" s="655">
        <f>+IF(OR($Q252=Parametres!$G$2,$Q252=Parametres!$G$3),I252,C252)</f>
        <v>398381.7</v>
      </c>
      <c r="O252" s="655">
        <f>+IF(OR($Q252=Parametres!$G$2,$Q252=Parametres!$G$3),J252,D252)</f>
        <v>73004.38</v>
      </c>
      <c r="P252" s="655">
        <f>+IF(OR($Q252=Parametres!$G$2,$Q252=Parametres!$G$3),K252,E252)</f>
        <v>471386.08</v>
      </c>
      <c r="Q252" s="654" t="str">
        <f t="shared" si="178"/>
        <v>6-Coût des ventes</v>
      </c>
      <c r="R252" s="653" t="str">
        <f t="shared" si="179"/>
        <v>4703</v>
      </c>
      <c r="S252" s="654" t="str">
        <f t="shared" si="180"/>
        <v>_</v>
      </c>
      <c r="T252" s="656" t="str">
        <f>+VLOOKUP($L252,Data_Validation!$A:$D,1,0)</f>
        <v>5703</v>
      </c>
      <c r="U252" s="656" t="str">
        <f>+VLOOKUP($L252,Data_Validation!$A:$D,3,0)</f>
        <v>Pièces</v>
      </c>
      <c r="V252" s="656" t="str">
        <f>+VLOOKUP($L252,Data_Validation!$A:$D,4,0)</f>
        <v>P/A Garantie</v>
      </c>
      <c r="W252" s="656" t="str">
        <f>+VLOOKUP($L252,Data_Validation!$A:$E,5,0)</f>
        <v>$</v>
      </c>
      <c r="X252" s="656">
        <f>+VLOOKUP($L252,Data_Validation!$A:$F,6,0)</f>
        <v>0</v>
      </c>
    </row>
    <row r="253" spans="1:24" ht="15" customHeight="1">
      <c r="A253" s="1218" t="s">
        <v>3951</v>
      </c>
      <c r="B253" s="1218" t="s">
        <v>3418</v>
      </c>
      <c r="C253" s="1220">
        <v>10.119999999999999</v>
      </c>
      <c r="D253" s="1220">
        <v>0</v>
      </c>
      <c r="E253" s="1220">
        <v>10.119999999999999</v>
      </c>
      <c r="F253" s="1218" t="s">
        <v>1110</v>
      </c>
      <c r="G253" s="1218" t="s">
        <v>3417</v>
      </c>
      <c r="H253" s="1218" t="s">
        <v>3950</v>
      </c>
      <c r="I253" s="652"/>
      <c r="J253" s="652"/>
      <c r="K253" s="652"/>
      <c r="L253" s="653" t="str">
        <f t="shared" si="176"/>
        <v>5704</v>
      </c>
      <c r="M253" s="654" t="str">
        <f t="shared" si="177"/>
        <v>VW P&amp;A SVC BR - SVC RAPIDE - CLIENT - MCI</v>
      </c>
      <c r="N253" s="655">
        <f>+IF(OR($Q253=Parametres!$G$2,$Q253=Parametres!$G$3),I253,C253)</f>
        <v>10.119999999999999</v>
      </c>
      <c r="O253" s="655">
        <f>+IF(OR($Q253=Parametres!$G$2,$Q253=Parametres!$G$3),J253,D253)</f>
        <v>0</v>
      </c>
      <c r="P253" s="655">
        <f>+IF(OR($Q253=Parametres!$G$2,$Q253=Parametres!$G$3),K253,E253)</f>
        <v>10.119999999999999</v>
      </c>
      <c r="Q253" s="654" t="str">
        <f t="shared" si="178"/>
        <v>6-Coût des ventes</v>
      </c>
      <c r="R253" s="653" t="str">
        <f t="shared" si="179"/>
        <v>4704</v>
      </c>
      <c r="S253" s="654" t="str">
        <f t="shared" si="180"/>
        <v>_</v>
      </c>
      <c r="T253" s="656" t="str">
        <f>+VLOOKUP($L253,Data_Validation!$A:$D,1,0)</f>
        <v>5704</v>
      </c>
      <c r="U253" s="656" t="str">
        <f>+VLOOKUP($L253,Data_Validation!$A:$D,3,0)</f>
        <v>Service</v>
      </c>
      <c r="V253" s="656" t="str">
        <f>+VLOOKUP($L253,Data_Validation!$A:$D,4,0)</f>
        <v>M/O Interne</v>
      </c>
      <c r="W253" s="656" t="str">
        <f>+VLOOKUP($L253,Data_Validation!$A:$E,5,0)</f>
        <v>$</v>
      </c>
      <c r="X253" s="656">
        <f>+VLOOKUP($L253,Data_Validation!$A:$F,6,0)</f>
        <v>0</v>
      </c>
    </row>
    <row r="254" spans="1:24" ht="15" customHeight="1">
      <c r="A254" s="1218" t="s">
        <v>3676</v>
      </c>
      <c r="B254" s="1218" t="s">
        <v>2202</v>
      </c>
      <c r="C254" s="1220">
        <v>263013.59000000003</v>
      </c>
      <c r="D254" s="1220">
        <v>52340.08</v>
      </c>
      <c r="E254" s="1220">
        <v>315353.67</v>
      </c>
      <c r="F254" s="1218" t="s">
        <v>1110</v>
      </c>
      <c r="G254" s="1218" t="s">
        <v>1073</v>
      </c>
      <c r="H254" s="1218" t="s">
        <v>3950</v>
      </c>
      <c r="I254" s="670"/>
      <c r="J254" s="651"/>
      <c r="K254" s="670"/>
      <c r="L254" s="653" t="str">
        <f t="shared" si="176"/>
        <v>5705</v>
      </c>
      <c r="M254" s="654" t="str">
        <f t="shared" si="177"/>
        <v>VW P&amp;A - BR - INTERNE - MCI</v>
      </c>
      <c r="N254" s="655">
        <f>+IF(OR($Q254=Parametres!$G$2,$Q254=Parametres!$G$3),I254,C254)</f>
        <v>263013.59000000003</v>
      </c>
      <c r="O254" s="655">
        <f>+IF(OR($Q254=Parametres!$G$2,$Q254=Parametres!$G$3),J254,D254)</f>
        <v>52340.08</v>
      </c>
      <c r="P254" s="655">
        <f>+IF(OR($Q254=Parametres!$G$2,$Q254=Parametres!$G$3),K254,E254)</f>
        <v>315353.67</v>
      </c>
      <c r="Q254" s="654" t="str">
        <f t="shared" si="178"/>
        <v>6-Coût des ventes</v>
      </c>
      <c r="R254" s="653" t="str">
        <f t="shared" si="179"/>
        <v>4705</v>
      </c>
      <c r="S254" s="654" t="str">
        <f t="shared" si="180"/>
        <v>_</v>
      </c>
      <c r="T254" s="656" t="str">
        <f>+VLOOKUP($L254,Data_Validation!$A:$D,1,0)</f>
        <v>5705</v>
      </c>
      <c r="U254" s="656" t="str">
        <f>+VLOOKUP($L254,Data_Validation!$A:$D,3,0)</f>
        <v>Pièces</v>
      </c>
      <c r="V254" s="656" t="str">
        <f>+VLOOKUP($L254,Data_Validation!$A:$D,4,0)</f>
        <v>Ventes Internes</v>
      </c>
      <c r="W254" s="656" t="str">
        <f>+VLOOKUP($L254,Data_Validation!$A:$E,5,0)</f>
        <v>$</v>
      </c>
      <c r="X254" s="656">
        <f>+VLOOKUP($L254,Data_Validation!$A:$F,6,0)</f>
        <v>0</v>
      </c>
    </row>
    <row r="255" spans="1:24" ht="15" customHeight="1">
      <c r="A255" s="1218" t="s">
        <v>3677</v>
      </c>
      <c r="B255" s="1218" t="s">
        <v>2205</v>
      </c>
      <c r="C255" s="1220">
        <v>693.84</v>
      </c>
      <c r="D255" s="1220">
        <v>163.65</v>
      </c>
      <c r="E255" s="1220">
        <v>857.49</v>
      </c>
      <c r="F255" s="1218" t="s">
        <v>1110</v>
      </c>
      <c r="G255" s="1218" t="s">
        <v>1076</v>
      </c>
      <c r="H255" s="1218" t="s">
        <v>3950</v>
      </c>
      <c r="I255" s="652"/>
      <c r="J255" s="652"/>
      <c r="K255" s="652"/>
      <c r="L255" s="653" t="str">
        <f t="shared" si="176"/>
        <v>5706</v>
      </c>
      <c r="M255" s="654" t="str">
        <f t="shared" si="177"/>
        <v>VW P&amp;A - BR - CLIENT - VEB</v>
      </c>
      <c r="N255" s="655">
        <f>+IF(OR($Q255=Parametres!$G$2,$Q255=Parametres!$G$3),I255,C255)</f>
        <v>693.84</v>
      </c>
      <c r="O255" s="655">
        <f>+IF(OR($Q255=Parametres!$G$2,$Q255=Parametres!$G$3),J255,D255)</f>
        <v>163.65</v>
      </c>
      <c r="P255" s="655">
        <f>+IF(OR($Q255=Parametres!$G$2,$Q255=Parametres!$G$3),K255,E255)</f>
        <v>857.49</v>
      </c>
      <c r="Q255" s="654" t="str">
        <f t="shared" si="178"/>
        <v>6-Coût des ventes</v>
      </c>
      <c r="R255" s="653" t="str">
        <f t="shared" si="179"/>
        <v>4706</v>
      </c>
      <c r="S255" s="654" t="str">
        <f t="shared" si="180"/>
        <v>_</v>
      </c>
      <c r="T255" s="656" t="str">
        <f>+VLOOKUP($L255,Data_Validation!$A:$D,1,0)</f>
        <v>5706</v>
      </c>
      <c r="U255" s="656" t="str">
        <f>+VLOOKUP($L255,Data_Validation!$A:$D,3,0)</f>
        <v>Service</v>
      </c>
      <c r="V255" s="656" t="str">
        <f>+VLOOKUP($L255,Data_Validation!$A:$D,4,0)</f>
        <v>M/O Interne</v>
      </c>
      <c r="W255" s="656" t="str">
        <f>+VLOOKUP($L255,Data_Validation!$A:$E,5,0)</f>
        <v>$</v>
      </c>
      <c r="X255" s="656">
        <f>+VLOOKUP($L255,Data_Validation!$A:$F,6,0)</f>
        <v>0</v>
      </c>
    </row>
    <row r="256" spans="1:24" ht="15.75" customHeight="1">
      <c r="A256" s="1218" t="s">
        <v>1141</v>
      </c>
      <c r="B256" s="1218" t="s">
        <v>2208</v>
      </c>
      <c r="C256" s="1220">
        <v>15795.16</v>
      </c>
      <c r="D256" s="1220">
        <v>2106.37</v>
      </c>
      <c r="E256" s="1220">
        <v>17901.53</v>
      </c>
      <c r="F256" s="1218" t="s">
        <v>1110</v>
      </c>
      <c r="G256" s="1218" t="s">
        <v>1142</v>
      </c>
      <c r="H256" s="1218" t="s">
        <v>3950</v>
      </c>
      <c r="I256" s="670"/>
      <c r="J256" s="651"/>
      <c r="K256" s="670"/>
      <c r="L256" s="653" t="str">
        <f t="shared" si="176"/>
        <v>5711</v>
      </c>
      <c r="M256" s="654" t="str">
        <f t="shared" si="177"/>
        <v>C/V - AUTRE PIECE/ACC/CARR B.R. CLIENT</v>
      </c>
      <c r="N256" s="655">
        <f>+IF(OR($Q256=Parametres!$G$2,$Q256=Parametres!$G$3),I256,C256)</f>
        <v>15795.16</v>
      </c>
      <c r="O256" s="655">
        <f>+IF(OR($Q256=Parametres!$G$2,$Q256=Parametres!$G$3),J256,D256)</f>
        <v>2106.37</v>
      </c>
      <c r="P256" s="655">
        <f>+IF(OR($Q256=Parametres!$G$2,$Q256=Parametres!$G$3),K256,E256)</f>
        <v>17901.53</v>
      </c>
      <c r="Q256" s="654" t="str">
        <f t="shared" si="178"/>
        <v>6-Coût des ventes</v>
      </c>
      <c r="R256" s="653" t="str">
        <f t="shared" si="179"/>
        <v>4711</v>
      </c>
      <c r="S256" s="654" t="str">
        <f t="shared" si="180"/>
        <v>_</v>
      </c>
      <c r="T256" s="656" t="str">
        <f>+VLOOKUP($L256,Data_Validation!$A:$D,1,0)</f>
        <v>5711</v>
      </c>
      <c r="U256" s="656" t="str">
        <f>+VLOOKUP($L256,Data_Validation!$A:$D,3,0)</f>
        <v>Pièces</v>
      </c>
      <c r="V256" s="656" t="str">
        <f>+VLOOKUP($L256,Data_Validation!$A:$D,4,0)</f>
        <v>Pièces Ro Clients</v>
      </c>
      <c r="W256" s="656" t="str">
        <f>+VLOOKUP($L256,Data_Validation!$A:$E,5,0)</f>
        <v>$</v>
      </c>
      <c r="X256" s="656">
        <f>+VLOOKUP($L256,Data_Validation!$A:$F,6,0)</f>
        <v>0</v>
      </c>
    </row>
    <row r="257" spans="1:24" ht="15" customHeight="1">
      <c r="A257" s="1218" t="s">
        <v>3678</v>
      </c>
      <c r="B257" s="1218" t="s">
        <v>2214</v>
      </c>
      <c r="C257" s="1220">
        <v>1124.9000000000001</v>
      </c>
      <c r="D257" s="1220">
        <v>0</v>
      </c>
      <c r="E257" s="1220">
        <v>1124.9000000000001</v>
      </c>
      <c r="F257" s="1218" t="s">
        <v>1110</v>
      </c>
      <c r="G257" s="1218" t="s">
        <v>1086</v>
      </c>
      <c r="H257" s="1218" t="s">
        <v>3950</v>
      </c>
      <c r="I257" s="670"/>
      <c r="J257" s="651"/>
      <c r="K257" s="670"/>
      <c r="L257" s="653" t="str">
        <f t="shared" si="176"/>
        <v>5731</v>
      </c>
      <c r="M257" s="654" t="str">
        <f t="shared" si="177"/>
        <v>VW-P&amp;A-P&amp;BRO-CLIENT - MCI</v>
      </c>
      <c r="N257" s="655">
        <f>+IF(OR($Q257=Parametres!$G$2,$Q257=Parametres!$G$3),I257,C257)</f>
        <v>1124.9000000000001</v>
      </c>
      <c r="O257" s="655">
        <f>+IF(OR($Q257=Parametres!$G$2,$Q257=Parametres!$G$3),J257,D257)</f>
        <v>0</v>
      </c>
      <c r="P257" s="655">
        <f>+IF(OR($Q257=Parametres!$G$2,$Q257=Parametres!$G$3),K257,E257)</f>
        <v>1124.9000000000001</v>
      </c>
      <c r="Q257" s="654" t="str">
        <f t="shared" si="178"/>
        <v>6-Coût des ventes</v>
      </c>
      <c r="R257" s="653" t="str">
        <f t="shared" si="179"/>
        <v>4731</v>
      </c>
      <c r="S257" s="654" t="str">
        <f t="shared" si="180"/>
        <v>_</v>
      </c>
      <c r="T257" s="656" t="str">
        <f>+VLOOKUP($L257,Data_Validation!$A:$D,1,0)</f>
        <v>5731</v>
      </c>
      <c r="U257" s="656" t="str">
        <f>+VLOOKUP($L257,Data_Validation!$A:$D,3,0)</f>
        <v>Pièces</v>
      </c>
      <c r="V257" s="656" t="str">
        <f>+VLOOKUP($L257,Data_Validation!$A:$D,4,0)</f>
        <v>Pièces Ro Carrosserie</v>
      </c>
      <c r="W257" s="656" t="str">
        <f>+VLOOKUP($L257,Data_Validation!$A:$E,5,0)</f>
        <v>$</v>
      </c>
      <c r="X257" s="656">
        <f>+VLOOKUP($L257,Data_Validation!$A:$F,6,0)</f>
        <v>0</v>
      </c>
    </row>
    <row r="258" spans="1:24" ht="15" customHeight="1">
      <c r="A258" s="1218" t="s">
        <v>3679</v>
      </c>
      <c r="B258" s="1218" t="s">
        <v>2217</v>
      </c>
      <c r="C258" s="1220">
        <v>22276.560000000001</v>
      </c>
      <c r="D258" s="1220">
        <v>14468.06</v>
      </c>
      <c r="E258" s="1220">
        <v>36744.620000000003</v>
      </c>
      <c r="F258" s="1218" t="s">
        <v>1110</v>
      </c>
      <c r="G258" s="1218" t="s">
        <v>1090</v>
      </c>
      <c r="H258" s="1218" t="s">
        <v>3950</v>
      </c>
      <c r="I258" s="670"/>
      <c r="J258" s="651"/>
      <c r="K258" s="670"/>
      <c r="L258" s="653" t="str">
        <f t="shared" si="176"/>
        <v>5733</v>
      </c>
      <c r="M258" s="654" t="str">
        <f t="shared" si="177"/>
        <v>VW-P&amp;A-P&amp;BRO-GARANTIE - MCI</v>
      </c>
      <c r="N258" s="655">
        <f>+IF(OR($Q258=Parametres!$G$2,$Q258=Parametres!$G$3),I258,C258)</f>
        <v>22276.560000000001</v>
      </c>
      <c r="O258" s="655">
        <f>+IF(OR($Q258=Parametres!$G$2,$Q258=Parametres!$G$3),J258,D258)</f>
        <v>14468.06</v>
      </c>
      <c r="P258" s="655">
        <f>+IF(OR($Q258=Parametres!$G$2,$Q258=Parametres!$G$3),K258,E258)</f>
        <v>36744.620000000003</v>
      </c>
      <c r="Q258" s="654" t="str">
        <f t="shared" si="178"/>
        <v>6-Coût des ventes</v>
      </c>
      <c r="R258" s="653" t="str">
        <f t="shared" si="179"/>
        <v>4733</v>
      </c>
      <c r="S258" s="654" t="str">
        <f t="shared" si="180"/>
        <v>_</v>
      </c>
      <c r="T258" s="656" t="str">
        <f>+VLOOKUP($L258,Data_Validation!$A:$D,1,0)</f>
        <v>5733</v>
      </c>
      <c r="U258" s="656" t="str">
        <f>+VLOOKUP($L258,Data_Validation!$A:$D,3,0)</f>
        <v>Pièces</v>
      </c>
      <c r="V258" s="656" t="str">
        <f>+VLOOKUP($L258,Data_Validation!$A:$D,4,0)</f>
        <v>Pièces Ro Carrosserie</v>
      </c>
      <c r="W258" s="656" t="str">
        <f>+VLOOKUP($L258,Data_Validation!$A:$E,5,0)</f>
        <v>$</v>
      </c>
      <c r="X258" s="656">
        <f>+VLOOKUP($L258,Data_Validation!$A:$F,6,0)</f>
        <v>0</v>
      </c>
    </row>
    <row r="259" spans="1:24" ht="15" customHeight="1">
      <c r="A259" s="1218" t="s">
        <v>3680</v>
      </c>
      <c r="B259" s="1218" t="s">
        <v>2220</v>
      </c>
      <c r="C259" s="1220">
        <v>391.85</v>
      </c>
      <c r="D259" s="1220">
        <v>0</v>
      </c>
      <c r="E259" s="1220">
        <v>391.85</v>
      </c>
      <c r="F259" s="1218" t="s">
        <v>1110</v>
      </c>
      <c r="G259" s="1218" t="s">
        <v>1094</v>
      </c>
      <c r="H259" s="1218" t="s">
        <v>3950</v>
      </c>
      <c r="I259" s="670"/>
      <c r="J259" s="651"/>
      <c r="K259" s="670"/>
      <c r="L259" s="653" t="str">
        <f t="shared" si="176"/>
        <v>5735</v>
      </c>
      <c r="M259" s="654" t="str">
        <f t="shared" si="177"/>
        <v>VW-P&amp;A-P&amp;BRO-INTERNE - MCI</v>
      </c>
      <c r="N259" s="655">
        <f>+IF(OR($Q259=Parametres!$G$2,$Q259=Parametres!$G$3),I259,C259)</f>
        <v>391.85</v>
      </c>
      <c r="O259" s="659">
        <f>+IF(OR($Q259=Parametres!$G$2,$Q259=Parametres!$G$3),J259,D259)</f>
        <v>0</v>
      </c>
      <c r="P259" s="655">
        <f>+IF(OR($Q259=Parametres!$G$2,$Q259=Parametres!$G$3),K259,E259)</f>
        <v>391.85</v>
      </c>
      <c r="Q259" s="654" t="str">
        <f t="shared" si="178"/>
        <v>6-Coût des ventes</v>
      </c>
      <c r="R259" s="653" t="str">
        <f t="shared" si="179"/>
        <v>4735</v>
      </c>
      <c r="S259" s="654" t="str">
        <f t="shared" si="180"/>
        <v>_</v>
      </c>
      <c r="T259" s="656" t="str">
        <f>+VLOOKUP($L259,Data_Validation!$A:$D,1,0)</f>
        <v>5735</v>
      </c>
      <c r="U259" s="656" t="str">
        <f>+VLOOKUP($L259,Data_Validation!$A:$D,3,0)</f>
        <v>Pièces</v>
      </c>
      <c r="V259" s="656" t="str">
        <f>+VLOOKUP($L259,Data_Validation!$A:$D,4,0)</f>
        <v>Pièces Ro Carrosserie</v>
      </c>
      <c r="W259" s="656" t="str">
        <f>+VLOOKUP($L259,Data_Validation!$A:$E,5,0)</f>
        <v>$</v>
      </c>
      <c r="X259" s="656">
        <f>+VLOOKUP($L259,Data_Validation!$A:$F,6,0)</f>
        <v>0</v>
      </c>
    </row>
    <row r="260" spans="1:24" ht="15" customHeight="1">
      <c r="A260" s="1218" t="s">
        <v>1147</v>
      </c>
      <c r="B260" s="1218" t="s">
        <v>2223</v>
      </c>
      <c r="C260" s="1220">
        <v>73930.039999999994</v>
      </c>
      <c r="D260" s="1220">
        <v>11113.83</v>
      </c>
      <c r="E260" s="1220">
        <v>85043.87</v>
      </c>
      <c r="F260" s="1218" t="s">
        <v>1110</v>
      </c>
      <c r="G260" s="1218" t="s">
        <v>1098</v>
      </c>
      <c r="H260" s="1218" t="s">
        <v>3950</v>
      </c>
      <c r="I260" s="670"/>
      <c r="J260" s="651"/>
      <c r="K260" s="670"/>
      <c r="L260" s="653" t="str">
        <f t="shared" si="176"/>
        <v>5761</v>
      </c>
      <c r="M260" s="654" t="str">
        <f t="shared" si="177"/>
        <v>C/V - P&amp;A VW COMPTOIR - DETAIL</v>
      </c>
      <c r="N260" s="655">
        <f>+IF(OR($Q260=Parametres!$G$2,$Q260=Parametres!$G$3),I260,C260)</f>
        <v>73930.039999999994</v>
      </c>
      <c r="O260" s="655">
        <f>+IF(OR($Q260=Parametres!$G$2,$Q260=Parametres!$G$3),J260,D260)</f>
        <v>11113.83</v>
      </c>
      <c r="P260" s="655">
        <f>+IF(OR($Q260=Parametres!$G$2,$Q260=Parametres!$G$3),K260,E260)</f>
        <v>85043.87</v>
      </c>
      <c r="Q260" s="654" t="str">
        <f t="shared" si="178"/>
        <v>6-Coût des ventes</v>
      </c>
      <c r="R260" s="653" t="str">
        <f t="shared" si="179"/>
        <v>4761</v>
      </c>
      <c r="S260" s="654" t="str">
        <f t="shared" si="180"/>
        <v>_</v>
      </c>
      <c r="T260" s="656" t="str">
        <f>+VLOOKUP($L260,Data_Validation!$A:$D,1,0)</f>
        <v>5761</v>
      </c>
      <c r="U260" s="656" t="str">
        <f>+VLOOKUP($L260,Data_Validation!$A:$D,3,0)</f>
        <v>Pièces</v>
      </c>
      <c r="V260" s="656" t="str">
        <f>+VLOOKUP($L260,Data_Validation!$A:$D,4,0)</f>
        <v>Ventes Détails</v>
      </c>
      <c r="W260" s="656" t="str">
        <f>+VLOOKUP($L260,Data_Validation!$A:$E,5,0)</f>
        <v>$</v>
      </c>
      <c r="X260" s="656">
        <f>+VLOOKUP($L260,Data_Validation!$A:$F,6,0)</f>
        <v>0</v>
      </c>
    </row>
    <row r="261" spans="1:24" ht="15" customHeight="1">
      <c r="A261" s="1218" t="s">
        <v>1148</v>
      </c>
      <c r="B261" s="1218" t="s">
        <v>2226</v>
      </c>
      <c r="C261" s="1220">
        <v>965645.13</v>
      </c>
      <c r="D261" s="1220">
        <v>155905.34</v>
      </c>
      <c r="E261" s="1220">
        <v>1121550.47</v>
      </c>
      <c r="F261" s="1218" t="s">
        <v>1110</v>
      </c>
      <c r="G261" s="1218" t="s">
        <v>1102</v>
      </c>
      <c r="H261" s="1218" t="s">
        <v>3950</v>
      </c>
      <c r="I261" s="652"/>
      <c r="J261" s="652"/>
      <c r="K261" s="652"/>
      <c r="L261" s="653" t="str">
        <f t="shared" si="176"/>
        <v>5763</v>
      </c>
      <c r="M261" s="654" t="str">
        <f t="shared" si="177"/>
        <v>C/V - P&amp;A VW COMPTOIR GROS - ECHANGE</v>
      </c>
      <c r="N261" s="655">
        <f>+IF(OR($Q261=Parametres!$G$2,$Q261=Parametres!$G$3),I261,C261)</f>
        <v>965645.13</v>
      </c>
      <c r="O261" s="655">
        <f>+IF(OR($Q261=Parametres!$G$2,$Q261=Parametres!$G$3),J261,D261)</f>
        <v>155905.34</v>
      </c>
      <c r="P261" s="655">
        <f>+IF(OR($Q261=Parametres!$G$2,$Q261=Parametres!$G$3),K261,E261)</f>
        <v>1121550.47</v>
      </c>
      <c r="Q261" s="654" t="str">
        <f t="shared" si="178"/>
        <v>6-Coût des ventes</v>
      </c>
      <c r="R261" s="653" t="str">
        <f t="shared" si="179"/>
        <v>4763</v>
      </c>
      <c r="S261" s="654" t="str">
        <f t="shared" si="180"/>
        <v>_</v>
      </c>
      <c r="T261" s="656" t="str">
        <f>+VLOOKUP($L261,Data_Validation!$A:$D,1,0)</f>
        <v>5763</v>
      </c>
      <c r="U261" s="656" t="str">
        <f>+VLOOKUP($L261,Data_Validation!$A:$D,3,0)</f>
        <v>Pièces</v>
      </c>
      <c r="V261" s="656" t="str">
        <f>+VLOOKUP($L261,Data_Validation!$A:$D,4,0)</f>
        <v>Ventes de Gros</v>
      </c>
      <c r="W261" s="656" t="str">
        <f>+VLOOKUP($L261,Data_Validation!$A:$E,5,0)</f>
        <v>$</v>
      </c>
      <c r="X261" s="656">
        <f>+VLOOKUP($L261,Data_Validation!$A:$F,6,0)</f>
        <v>0</v>
      </c>
    </row>
    <row r="262" spans="1:24" ht="15.75" customHeight="1">
      <c r="A262" s="1218" t="s">
        <v>3683</v>
      </c>
      <c r="B262" s="1218" t="s">
        <v>3684</v>
      </c>
      <c r="C262" s="1220">
        <v>38501.96</v>
      </c>
      <c r="D262" s="1220">
        <v>6166.35</v>
      </c>
      <c r="E262" s="1220">
        <v>44668.31</v>
      </c>
      <c r="F262" s="1218" t="s">
        <v>1110</v>
      </c>
      <c r="G262" s="1218" t="s">
        <v>3685</v>
      </c>
      <c r="H262" s="1218" t="s">
        <v>3950</v>
      </c>
      <c r="I262" s="672"/>
      <c r="J262" s="663"/>
      <c r="K262" s="672"/>
      <c r="L262" s="653" t="str">
        <f t="shared" si="176"/>
        <v>5773</v>
      </c>
      <c r="M262" s="654" t="str">
        <f t="shared" si="177"/>
        <v>C/V - P&amp;A - COMPTOIR - ENGROS - AUDI</v>
      </c>
      <c r="N262" s="655">
        <f>+IF(OR($Q262=Parametres!$G$2,$Q262=Parametres!$G$3),I262,C262)</f>
        <v>38501.96</v>
      </c>
      <c r="O262" s="655">
        <f>+IF(OR($Q262=Parametres!$G$2,$Q262=Parametres!$G$3),J262,D262)</f>
        <v>6166.35</v>
      </c>
      <c r="P262" s="655">
        <f>+IF(OR($Q262=Parametres!$G$2,$Q262=Parametres!$G$3),K262,E262)</f>
        <v>44668.31</v>
      </c>
      <c r="Q262" s="654" t="str">
        <f t="shared" si="178"/>
        <v>6-Coût des ventes</v>
      </c>
      <c r="R262" s="653" t="str">
        <f t="shared" si="179"/>
        <v>4773</v>
      </c>
      <c r="S262" s="654" t="str">
        <f t="shared" si="180"/>
        <v>_</v>
      </c>
      <c r="T262" s="671" t="str">
        <f>+VLOOKUP($L262,Data_Validation!$A:$D,1,0)</f>
        <v>5773</v>
      </c>
      <c r="U262" s="656" t="str">
        <f>+VLOOKUP($L262,Data_Validation!$A:$D,3,0)</f>
        <v>Pièces</v>
      </c>
      <c r="V262" s="656" t="str">
        <f>+VLOOKUP($L262,Data_Validation!$A:$D,4,0)</f>
        <v>Ventes de Gros</v>
      </c>
      <c r="W262" s="656" t="str">
        <f>+VLOOKUP($L262,Data_Validation!$A:$E,5,0)</f>
        <v>$</v>
      </c>
      <c r="X262" s="656">
        <f>+VLOOKUP($L262,Data_Validation!$A:$F,6,0)</f>
        <v>0</v>
      </c>
    </row>
    <row r="263" spans="1:24" ht="15" customHeight="1">
      <c r="A263" s="1218" t="s">
        <v>1149</v>
      </c>
      <c r="B263" s="1218" t="s">
        <v>2229</v>
      </c>
      <c r="C263" s="1220">
        <v>200706.39</v>
      </c>
      <c r="D263" s="1220">
        <v>27005.03</v>
      </c>
      <c r="E263" s="1220">
        <v>227711.42</v>
      </c>
      <c r="F263" s="1218" t="s">
        <v>1110</v>
      </c>
      <c r="G263" s="1218" t="s">
        <v>1106</v>
      </c>
      <c r="H263" s="1218" t="s">
        <v>3950</v>
      </c>
      <c r="I263" s="670"/>
      <c r="J263" s="651"/>
      <c r="K263" s="670"/>
      <c r="L263" s="653" t="str">
        <f t="shared" si="176"/>
        <v>5781</v>
      </c>
      <c r="M263" s="654" t="str">
        <f t="shared" si="177"/>
        <v>COUT PNEUS</v>
      </c>
      <c r="N263" s="655">
        <f>+IF(OR($Q263=Parametres!$G$2,$Q263=Parametres!$G$3),I263,C263)</f>
        <v>200706.39</v>
      </c>
      <c r="O263" s="655">
        <f>+IF(OR($Q263=Parametres!$G$2,$Q263=Parametres!$G$3),J263,D263)</f>
        <v>27005.03</v>
      </c>
      <c r="P263" s="655">
        <f>+IF(OR($Q263=Parametres!$G$2,$Q263=Parametres!$G$3),K263,E263)</f>
        <v>227711.42</v>
      </c>
      <c r="Q263" s="654" t="str">
        <f t="shared" si="178"/>
        <v>6-Coût des ventes</v>
      </c>
      <c r="R263" s="653" t="str">
        <f t="shared" si="179"/>
        <v>4781</v>
      </c>
      <c r="S263" s="654" t="str">
        <f t="shared" si="180"/>
        <v>_</v>
      </c>
      <c r="T263" s="656" t="str">
        <f>+VLOOKUP($L263,Data_Validation!$A:$D,1,0)</f>
        <v>5781</v>
      </c>
      <c r="U263" s="656" t="str">
        <f>+VLOOKUP($L263,Data_Validation!$A:$D,3,0)</f>
        <v>Pièces</v>
      </c>
      <c r="V263" s="656" t="str">
        <f>+VLOOKUP($L263,Data_Validation!$A:$D,4,0)</f>
        <v>Ventes Pneus</v>
      </c>
      <c r="W263" s="656" t="str">
        <f>+VLOOKUP($L263,Data_Validation!$A:$E,5,0)</f>
        <v>$</v>
      </c>
      <c r="X263" s="656">
        <f>+VLOOKUP($L263,Data_Validation!$A:$F,6,0)</f>
        <v>0</v>
      </c>
    </row>
    <row r="264" spans="1:24" ht="15" customHeight="1">
      <c r="A264" s="1218" t="s">
        <v>1150</v>
      </c>
      <c r="B264" s="1218" t="s">
        <v>2232</v>
      </c>
      <c r="C264" s="1220">
        <v>3196.6</v>
      </c>
      <c r="D264" s="1220">
        <v>0</v>
      </c>
      <c r="E264" s="1220">
        <v>3196.6</v>
      </c>
      <c r="F264" s="1218" t="s">
        <v>1110</v>
      </c>
      <c r="G264" s="1218" t="s">
        <v>1106</v>
      </c>
      <c r="H264" s="1218" t="s">
        <v>3950</v>
      </c>
      <c r="I264" s="652"/>
      <c r="J264" s="652"/>
      <c r="K264" s="652"/>
      <c r="L264" s="653" t="str">
        <f t="shared" si="176"/>
        <v>5785</v>
      </c>
      <c r="M264" s="654" t="str">
        <f t="shared" si="177"/>
        <v>C/V - VW PNEUS</v>
      </c>
      <c r="N264" s="655">
        <f>+IF(OR($Q264=Parametres!$G$2,$Q264=Parametres!$G$3),I264,C264)</f>
        <v>3196.6</v>
      </c>
      <c r="O264" s="659">
        <f>+IF(OR($Q264=Parametres!$G$2,$Q264=Parametres!$G$3),J264,D264)</f>
        <v>0</v>
      </c>
      <c r="P264" s="655">
        <f>+IF(OR($Q264=Parametres!$G$2,$Q264=Parametres!$G$3),K264,E264)</f>
        <v>3196.6</v>
      </c>
      <c r="Q264" s="654" t="str">
        <f t="shared" si="178"/>
        <v>6-Coût des ventes</v>
      </c>
      <c r="R264" s="653" t="str">
        <f t="shared" si="179"/>
        <v>4781</v>
      </c>
      <c r="S264" s="654" t="str">
        <f t="shared" si="180"/>
        <v>_</v>
      </c>
      <c r="T264" s="656" t="str">
        <f>+VLOOKUP($L264,Data_Validation!$A:$D,1,0)</f>
        <v>5785</v>
      </c>
      <c r="U264" s="656" t="str">
        <f>+VLOOKUP($L264,Data_Validation!$A:$D,3,0)</f>
        <v>Pièces</v>
      </c>
      <c r="V264" s="656" t="str">
        <f>+VLOOKUP($L264,Data_Validation!$A:$D,4,0)</f>
        <v>Ventes Pneus</v>
      </c>
      <c r="W264" s="656" t="str">
        <f>+VLOOKUP($L264,Data_Validation!$A:$E,5,0)</f>
        <v>$</v>
      </c>
      <c r="X264" s="656">
        <f>+VLOOKUP($L264,Data_Validation!$A:$F,6,0)</f>
        <v>0</v>
      </c>
    </row>
    <row r="265" spans="1:24" ht="15" customHeight="1">
      <c r="A265" s="1218" t="s">
        <v>1151</v>
      </c>
      <c r="B265" s="1218" t="s">
        <v>2237</v>
      </c>
      <c r="C265" s="1220">
        <v>2191.0700000000002</v>
      </c>
      <c r="D265" s="1220">
        <v>3274.38</v>
      </c>
      <c r="E265" s="1220">
        <v>5465.45</v>
      </c>
      <c r="F265" s="1218" t="s">
        <v>1110</v>
      </c>
      <c r="G265" s="1218" t="s">
        <v>1152</v>
      </c>
      <c r="H265" s="1218" t="s">
        <v>3950</v>
      </c>
      <c r="I265" s="651"/>
      <c r="J265" s="651"/>
      <c r="K265" s="651"/>
      <c r="L265" s="653" t="str">
        <f t="shared" si="176"/>
        <v>5796</v>
      </c>
      <c r="M265" s="654" t="str">
        <f t="shared" si="177"/>
        <v>C/V - BONI / ESCPTE PI VW</v>
      </c>
      <c r="N265" s="655">
        <f>+IF(OR($Q265=Parametres!$G$2,$Q265=Parametres!$G$3),I265,C265)</f>
        <v>2191.0700000000002</v>
      </c>
      <c r="O265" s="659">
        <f>+IF(OR($Q265=Parametres!$G$2,$Q265=Parametres!$G$3),J265,D265)</f>
        <v>3274.38</v>
      </c>
      <c r="P265" s="655">
        <f>+IF(OR($Q265=Parametres!$G$2,$Q265=Parametres!$G$3),K265,E265)</f>
        <v>5465.45</v>
      </c>
      <c r="Q265" s="654" t="str">
        <f t="shared" si="178"/>
        <v>6-Coût des ventes</v>
      </c>
      <c r="R265" s="653" t="str">
        <f t="shared" si="179"/>
        <v>5792</v>
      </c>
      <c r="S265" s="654" t="str">
        <f t="shared" si="180"/>
        <v>_</v>
      </c>
      <c r="T265" s="656" t="str">
        <f>+VLOOKUP($L265,Data_Validation!$A:$D,1,0)</f>
        <v>5796</v>
      </c>
      <c r="U265" s="656" t="str">
        <f>+VLOOKUP($L265,Data_Validation!$A:$D,3,0)</f>
        <v>Pièces</v>
      </c>
      <c r="V265" s="656" t="str">
        <f>+VLOOKUP($L265,Data_Validation!$A:$D,4,0)</f>
        <v>Escomptes</v>
      </c>
      <c r="W265" s="656" t="str">
        <f>+VLOOKUP($L265,Data_Validation!$A:$E,5,0)</f>
        <v>$</v>
      </c>
      <c r="X265" s="656">
        <f>+VLOOKUP($L265,Data_Validation!$A:$F,6,0)</f>
        <v>0</v>
      </c>
    </row>
    <row r="266" spans="1:24" ht="15" customHeight="1">
      <c r="A266" s="1218" t="s">
        <v>1153</v>
      </c>
      <c r="B266" s="1218" t="s">
        <v>1155</v>
      </c>
      <c r="C266" s="1220">
        <v>217495.3</v>
      </c>
      <c r="D266" s="1220">
        <v>52285.66</v>
      </c>
      <c r="E266" s="1220">
        <v>269780.96000000002</v>
      </c>
      <c r="F266" s="1218" t="s">
        <v>1154</v>
      </c>
      <c r="G266" s="1218" t="s">
        <v>1155</v>
      </c>
      <c r="H266" s="1218" t="s">
        <v>3950</v>
      </c>
      <c r="I266" s="670"/>
      <c r="J266" s="651"/>
      <c r="K266" s="670"/>
      <c r="L266" s="653" t="str">
        <f t="shared" si="176"/>
        <v>6101</v>
      </c>
      <c r="M266" s="654" t="str">
        <f t="shared" si="177"/>
        <v>COMMISSION VENDEUR NEUFS</v>
      </c>
      <c r="N266" s="655">
        <f>+IF(OR($Q266=Parametres!$G$2,$Q266=Parametres!$G$3),I266,C266)</f>
        <v>217495.3</v>
      </c>
      <c r="O266" s="655">
        <f>+IF(OR($Q266=Parametres!$G$2,$Q266=Parametres!$G$3),J266,D266)</f>
        <v>52285.66</v>
      </c>
      <c r="P266" s="655">
        <f>+IF(OR($Q266=Parametres!$G$2,$Q266=Parametres!$G$3),K266,E266)</f>
        <v>269780.96000000002</v>
      </c>
      <c r="Q266" s="654" t="str">
        <f t="shared" si="178"/>
        <v>7-Dépenses</v>
      </c>
      <c r="R266" s="653" t="str">
        <f t="shared" si="179"/>
        <v>6101</v>
      </c>
      <c r="S266" s="654" t="str">
        <f t="shared" si="180"/>
        <v>_</v>
      </c>
      <c r="T266" s="656" t="str">
        <f>+VLOOKUP($L266,Data_Validation!$A:$D,1,0)</f>
        <v>6101</v>
      </c>
      <c r="U266" s="656" t="str">
        <f>+VLOOKUP($L266,Data_Validation!$A:$D,3,0)</f>
        <v>Véhicules neufs</v>
      </c>
      <c r="V266" s="656" t="str">
        <f>+VLOOKUP($L266,Data_Validation!$A:$D,4,0)</f>
        <v>Comm. vendeurs</v>
      </c>
      <c r="W266" s="656" t="str">
        <f>+VLOOKUP($L266,Data_Validation!$A:$E,5,0)</f>
        <v>$</v>
      </c>
      <c r="X266" s="656">
        <f>+VLOOKUP($L266,Data_Validation!$A:$F,6,0)</f>
        <v>0</v>
      </c>
    </row>
    <row r="267" spans="1:24" ht="15" customHeight="1">
      <c r="A267" s="1218" t="s">
        <v>1156</v>
      </c>
      <c r="B267" s="1218" t="s">
        <v>1157</v>
      </c>
      <c r="C267" s="1220">
        <v>80478.48</v>
      </c>
      <c r="D267" s="1220">
        <v>20151.54</v>
      </c>
      <c r="E267" s="1220">
        <v>100630.02</v>
      </c>
      <c r="F267" s="1218" t="s">
        <v>1154</v>
      </c>
      <c r="G267" s="1218" t="s">
        <v>1157</v>
      </c>
      <c r="H267" s="1218" t="s">
        <v>3950</v>
      </c>
      <c r="I267" s="670"/>
      <c r="J267" s="651"/>
      <c r="K267" s="670"/>
      <c r="L267" s="653" t="str">
        <f t="shared" si="176"/>
        <v>6102</v>
      </c>
      <c r="M267" s="654" t="str">
        <f t="shared" si="177"/>
        <v>RENUMERATION F &amp; I</v>
      </c>
      <c r="N267" s="655">
        <f>+IF(OR($Q267=Parametres!$G$2,$Q267=Parametres!$G$3),I267,C267)</f>
        <v>80478.48</v>
      </c>
      <c r="O267" s="655">
        <f>+IF(OR($Q267=Parametres!$G$2,$Q267=Parametres!$G$3),J267,D267)</f>
        <v>20151.54</v>
      </c>
      <c r="P267" s="655">
        <f>+IF(OR($Q267=Parametres!$G$2,$Q267=Parametres!$G$3),K267,E267)</f>
        <v>100630.02</v>
      </c>
      <c r="Q267" s="654" t="str">
        <f t="shared" si="178"/>
        <v>7-Dépenses</v>
      </c>
      <c r="R267" s="653" t="str">
        <f t="shared" si="179"/>
        <v>6102</v>
      </c>
      <c r="S267" s="654" t="str">
        <f t="shared" si="180"/>
        <v>_</v>
      </c>
      <c r="T267" s="656" t="str">
        <f>+VLOOKUP($L267,Data_Validation!$A:$D,1,0)</f>
        <v>6102</v>
      </c>
      <c r="U267" s="656" t="str">
        <f>+VLOOKUP($L267,Data_Validation!$A:$D,3,0)</f>
        <v>Véhicules neufs</v>
      </c>
      <c r="V267" s="656" t="str">
        <f>+VLOOKUP($L267,Data_Validation!$A:$D,4,0)</f>
        <v>Comm. F&amp;I</v>
      </c>
      <c r="W267" s="656" t="str">
        <f>+VLOOKUP($L267,Data_Validation!$A:$E,5,0)</f>
        <v>$</v>
      </c>
      <c r="X267" s="656">
        <f>+VLOOKUP($L267,Data_Validation!$A:$F,6,0)</f>
        <v>0</v>
      </c>
    </row>
    <row r="268" spans="1:24" ht="15" customHeight="1">
      <c r="A268" s="1218" t="s">
        <v>1158</v>
      </c>
      <c r="B268" s="1218" t="s">
        <v>1159</v>
      </c>
      <c r="C268" s="1220">
        <v>2237.34</v>
      </c>
      <c r="D268" s="1220">
        <v>0</v>
      </c>
      <c r="E268" s="1220">
        <v>2237.34</v>
      </c>
      <c r="F268" s="1218" t="s">
        <v>1154</v>
      </c>
      <c r="G268" s="1218" t="s">
        <v>1159</v>
      </c>
      <c r="H268" s="1218" t="s">
        <v>3950</v>
      </c>
      <c r="I268" s="670"/>
      <c r="J268" s="651"/>
      <c r="K268" s="670"/>
      <c r="L268" s="653" t="str">
        <f t="shared" si="176"/>
        <v>6103</v>
      </c>
      <c r="M268" s="654" t="str">
        <f t="shared" si="177"/>
        <v>RELAT. A LA CLIENTELE &amp; AJUST.</v>
      </c>
      <c r="N268" s="655">
        <f>+IF(OR($Q268=Parametres!$G$2,$Q268=Parametres!$G$3),I268,C268)</f>
        <v>2237.34</v>
      </c>
      <c r="O268" s="655">
        <f>+IF(OR($Q268=Parametres!$G$2,$Q268=Parametres!$G$3),J268,D268)</f>
        <v>0</v>
      </c>
      <c r="P268" s="655">
        <f>+IF(OR($Q268=Parametres!$G$2,$Q268=Parametres!$G$3),K268,E268)</f>
        <v>2237.34</v>
      </c>
      <c r="Q268" s="654" t="str">
        <f t="shared" si="178"/>
        <v>7-Dépenses</v>
      </c>
      <c r="R268" s="653" t="str">
        <f t="shared" si="179"/>
        <v>6103</v>
      </c>
      <c r="S268" s="654" t="str">
        <f t="shared" si="180"/>
        <v>_</v>
      </c>
      <c r="T268" s="656" t="str">
        <f>+VLOOKUP($L268,Data_Validation!$A:$D,1,0)</f>
        <v>6103</v>
      </c>
      <c r="U268" s="656" t="str">
        <f>+VLOOKUP($L268,Data_Validation!$A:$D,3,0)</f>
        <v>Véhicules neufs</v>
      </c>
      <c r="V268" s="656" t="str">
        <f>+VLOOKUP($L268,Data_Validation!$A:$D,4,0)</f>
        <v>Service gratuit 1</v>
      </c>
      <c r="W268" s="656" t="str">
        <f>+VLOOKUP($L268,Data_Validation!$A:$E,5,0)</f>
        <v>$</v>
      </c>
      <c r="X268" s="656">
        <f>+VLOOKUP($L268,Data_Validation!$A:$F,6,0)</f>
        <v>0</v>
      </c>
    </row>
    <row r="269" spans="1:24" ht="15" customHeight="1">
      <c r="A269" s="1218" t="s">
        <v>1160</v>
      </c>
      <c r="B269" s="1218" t="s">
        <v>1161</v>
      </c>
      <c r="C269" s="1220">
        <v>46143.21</v>
      </c>
      <c r="D269" s="1220">
        <v>3563.61</v>
      </c>
      <c r="E269" s="1220">
        <v>49706.82</v>
      </c>
      <c r="F269" s="1218" t="s">
        <v>1154</v>
      </c>
      <c r="G269" s="1218" t="s">
        <v>1161</v>
      </c>
      <c r="H269" s="1218" t="s">
        <v>3950</v>
      </c>
      <c r="I269" s="652"/>
      <c r="J269" s="652"/>
      <c r="K269" s="652"/>
      <c r="L269" s="653" t="str">
        <f t="shared" si="176"/>
        <v>6106</v>
      </c>
      <c r="M269" s="654" t="str">
        <f t="shared" si="177"/>
        <v>ENTRETIEN DES STOCKS</v>
      </c>
      <c r="N269" s="655">
        <f>+IF(OR($Q269=Parametres!$G$2,$Q269=Parametres!$G$3),I269,C269)</f>
        <v>46143.21</v>
      </c>
      <c r="O269" s="655">
        <f>+IF(OR($Q269=Parametres!$G$2,$Q269=Parametres!$G$3),J269,D269)</f>
        <v>3563.61</v>
      </c>
      <c r="P269" s="655">
        <f>+IF(OR($Q269=Parametres!$G$2,$Q269=Parametres!$G$3),K269,E269)</f>
        <v>49706.82</v>
      </c>
      <c r="Q269" s="654" t="str">
        <f t="shared" si="178"/>
        <v>7-Dépenses</v>
      </c>
      <c r="R269" s="653" t="str">
        <f t="shared" si="179"/>
        <v>6106</v>
      </c>
      <c r="S269" s="654" t="str">
        <f t="shared" si="180"/>
        <v>_</v>
      </c>
      <c r="T269" s="656" t="str">
        <f>+VLOOKUP($L269,Data_Validation!$A:$D,1,0)</f>
        <v>6106</v>
      </c>
      <c r="U269" s="656" t="str">
        <f>+VLOOKUP($L269,Data_Validation!$A:$D,3,0)</f>
        <v>Véhicules neufs</v>
      </c>
      <c r="V269" s="656" t="str">
        <f>+VLOOKUP($L269,Data_Validation!$A:$D,4,0)</f>
        <v>Entretien stock</v>
      </c>
      <c r="W269" s="656" t="str">
        <f>+VLOOKUP($L269,Data_Validation!$A:$E,5,0)</f>
        <v>$</v>
      </c>
      <c r="X269" s="656">
        <f>+VLOOKUP($L269,Data_Validation!$A:$F,6,0)</f>
        <v>0</v>
      </c>
    </row>
    <row r="270" spans="1:24" ht="15" customHeight="1">
      <c r="A270" s="1218" t="s">
        <v>1162</v>
      </c>
      <c r="B270" s="1218" t="s">
        <v>1163</v>
      </c>
      <c r="C270" s="1220">
        <v>60813.17</v>
      </c>
      <c r="D270" s="1220">
        <v>22144.77</v>
      </c>
      <c r="E270" s="1220">
        <v>82957.94</v>
      </c>
      <c r="F270" s="1218" t="s">
        <v>1154</v>
      </c>
      <c r="G270" s="1218" t="s">
        <v>1163</v>
      </c>
      <c r="H270" s="1218" t="s">
        <v>3950</v>
      </c>
      <c r="I270" s="652"/>
      <c r="J270" s="652"/>
      <c r="K270" s="652"/>
      <c r="L270" s="653" t="str">
        <f t="shared" si="176"/>
        <v>6107</v>
      </c>
      <c r="M270" s="654" t="str">
        <f t="shared" si="177"/>
        <v>INTERET-PLAN DE FINANCEMENT</v>
      </c>
      <c r="N270" s="655">
        <f>+IF(OR($Q270=Parametres!$G$2,$Q270=Parametres!$G$3),I270,C270)</f>
        <v>60813.17</v>
      </c>
      <c r="O270" s="655">
        <f>+IF(OR($Q270=Parametres!$G$2,$Q270=Parametres!$G$3),J270,D270)</f>
        <v>22144.77</v>
      </c>
      <c r="P270" s="655">
        <f>+IF(OR($Q270=Parametres!$G$2,$Q270=Parametres!$G$3),K270,E270)</f>
        <v>82957.94</v>
      </c>
      <c r="Q270" s="654" t="str">
        <f t="shared" si="178"/>
        <v>7-Dépenses</v>
      </c>
      <c r="R270" s="653" t="str">
        <f t="shared" si="179"/>
        <v>6107</v>
      </c>
      <c r="S270" s="654" t="str">
        <f t="shared" si="180"/>
        <v>_</v>
      </c>
      <c r="T270" s="656" t="str">
        <f>+VLOOKUP($L270,Data_Validation!$A:$D,1,0)</f>
        <v>6107</v>
      </c>
      <c r="U270" s="656" t="str">
        <f>+VLOOKUP($L270,Data_Validation!$A:$D,3,0)</f>
        <v>Véhicules neufs</v>
      </c>
      <c r="V270" s="656" t="str">
        <f>+VLOOKUP($L270,Data_Validation!$A:$D,4,0)</f>
        <v>Intérêt de gros</v>
      </c>
      <c r="W270" s="656" t="str">
        <f>+VLOOKUP($L270,Data_Validation!$A:$E,5,0)</f>
        <v>$</v>
      </c>
      <c r="X270" s="656">
        <f>+VLOOKUP($L270,Data_Validation!$A:$F,6,0)</f>
        <v>0</v>
      </c>
    </row>
    <row r="271" spans="1:24" ht="15" customHeight="1">
      <c r="A271" s="1218" t="s">
        <v>1164</v>
      </c>
      <c r="B271" s="1218" t="s">
        <v>1165</v>
      </c>
      <c r="C271" s="1220">
        <v>32299.86</v>
      </c>
      <c r="D271" s="1220">
        <v>9121.26</v>
      </c>
      <c r="E271" s="1220">
        <v>41421.120000000003</v>
      </c>
      <c r="F271" s="1218" t="s">
        <v>1154</v>
      </c>
      <c r="G271" s="1218" t="s">
        <v>1165</v>
      </c>
      <c r="H271" s="1218" t="s">
        <v>3950</v>
      </c>
      <c r="I271" s="670"/>
      <c r="J271" s="651"/>
      <c r="K271" s="670"/>
      <c r="L271" s="653" t="str">
        <f t="shared" si="176"/>
        <v>6108</v>
      </c>
      <c r="M271" s="654" t="str">
        <f t="shared" si="177"/>
        <v>FRAIS DE LIVRAISON</v>
      </c>
      <c r="N271" s="655">
        <f>+IF(OR($Q271=Parametres!$G$2,$Q271=Parametres!$G$3),I271,C271)</f>
        <v>32299.86</v>
      </c>
      <c r="O271" s="655">
        <f>+IF(OR($Q271=Parametres!$G$2,$Q271=Parametres!$G$3),J271,D271)</f>
        <v>9121.26</v>
      </c>
      <c r="P271" s="655">
        <f>+IF(OR($Q271=Parametres!$G$2,$Q271=Parametres!$G$3),K271,E271)</f>
        <v>41421.120000000003</v>
      </c>
      <c r="Q271" s="654" t="str">
        <f t="shared" si="178"/>
        <v>7-Dépenses</v>
      </c>
      <c r="R271" s="653" t="str">
        <f t="shared" si="179"/>
        <v>6108</v>
      </c>
      <c r="S271" s="654" t="str">
        <f t="shared" si="180"/>
        <v>_</v>
      </c>
      <c r="T271" s="656" t="str">
        <f>+VLOOKUP($L271,Data_Validation!$A:$D,1,0)</f>
        <v>6108</v>
      </c>
      <c r="U271" s="656" t="str">
        <f>+VLOOKUP($L271,Data_Validation!$A:$D,3,0)</f>
        <v>Véhicules neufs</v>
      </c>
      <c r="V271" s="656" t="str">
        <f>+VLOOKUP($L271,Data_Validation!$A:$D,4,0)</f>
        <v>Frais de livraison</v>
      </c>
      <c r="W271" s="656" t="str">
        <f>+VLOOKUP($L271,Data_Validation!$A:$E,5,0)</f>
        <v>$</v>
      </c>
      <c r="X271" s="656">
        <f>+VLOOKUP($L271,Data_Validation!$A:$F,6,0)</f>
        <v>0</v>
      </c>
    </row>
    <row r="272" spans="1:24" ht="15.75" customHeight="1">
      <c r="A272" s="1218" t="s">
        <v>1166</v>
      </c>
      <c r="B272" s="1218" t="s">
        <v>1167</v>
      </c>
      <c r="C272" s="1220">
        <v>104974.27</v>
      </c>
      <c r="D272" s="1220">
        <v>15676.53</v>
      </c>
      <c r="E272" s="1220">
        <v>120650.8</v>
      </c>
      <c r="F272" s="1218" t="s">
        <v>1154</v>
      </c>
      <c r="G272" s="1218" t="s">
        <v>1167</v>
      </c>
      <c r="H272" s="1218" t="s">
        <v>3950</v>
      </c>
      <c r="I272" s="672"/>
      <c r="J272" s="663"/>
      <c r="K272" s="672"/>
      <c r="L272" s="653" t="str">
        <f t="shared" si="176"/>
        <v>6114</v>
      </c>
      <c r="M272" s="654" t="str">
        <f t="shared" si="177"/>
        <v>PUBLICITE</v>
      </c>
      <c r="N272" s="655">
        <f>+IF(OR($Q272=Parametres!$G$2,$Q272=Parametres!$G$3),I272,C272)</f>
        <v>104974.27</v>
      </c>
      <c r="O272" s="655">
        <f>+IF(OR($Q272=Parametres!$G$2,$Q272=Parametres!$G$3),J272,D272)</f>
        <v>15676.53</v>
      </c>
      <c r="P272" s="655">
        <f>+IF(OR($Q272=Parametres!$G$2,$Q272=Parametres!$G$3),K272,E272)</f>
        <v>120650.8</v>
      </c>
      <c r="Q272" s="654" t="str">
        <f t="shared" si="178"/>
        <v>7-Dépenses</v>
      </c>
      <c r="R272" s="653" t="str">
        <f t="shared" si="179"/>
        <v>6114</v>
      </c>
      <c r="S272" s="654" t="str">
        <f t="shared" si="180"/>
        <v>_</v>
      </c>
      <c r="T272" s="656" t="str">
        <f>+VLOOKUP($L272,Data_Validation!$A:$D,1,0)</f>
        <v>6114</v>
      </c>
      <c r="U272" s="656" t="str">
        <f>+VLOOKUP($L272,Data_Validation!$A:$D,3,0)</f>
        <v>Véhicules neufs</v>
      </c>
      <c r="V272" s="656" t="str">
        <f>+VLOOKUP($L272,Data_Validation!$A:$D,4,0)</f>
        <v>Publicité 1</v>
      </c>
      <c r="W272" s="656" t="str">
        <f>+VLOOKUP($L272,Data_Validation!$A:$E,5,0)</f>
        <v>$</v>
      </c>
      <c r="X272" s="656">
        <f>+VLOOKUP($L272,Data_Validation!$A:$F,6,0)</f>
        <v>0</v>
      </c>
    </row>
    <row r="273" spans="1:24" ht="15" customHeight="1">
      <c r="A273" s="1218" t="s">
        <v>1168</v>
      </c>
      <c r="B273" s="1218" t="s">
        <v>2257</v>
      </c>
      <c r="C273" s="1220">
        <v>-46650</v>
      </c>
      <c r="D273" s="1220">
        <v>-12000</v>
      </c>
      <c r="E273" s="1220">
        <v>-58650</v>
      </c>
      <c r="F273" s="1218" t="s">
        <v>1154</v>
      </c>
      <c r="G273" s="1218" t="s">
        <v>1167</v>
      </c>
      <c r="H273" s="1218" t="s">
        <v>3950</v>
      </c>
      <c r="I273" s="652"/>
      <c r="J273" s="652"/>
      <c r="K273" s="652"/>
      <c r="L273" s="653" t="str">
        <f t="shared" si="176"/>
        <v>6115</v>
      </c>
      <c r="M273" s="654" t="str">
        <f t="shared" si="177"/>
        <v>CREDIT PUBLICITE NEUF</v>
      </c>
      <c r="N273" s="655">
        <f>+IF(OR($Q273=Parametres!$G$2,$Q273=Parametres!$G$3),I273,C273)</f>
        <v>-46650</v>
      </c>
      <c r="O273" s="659">
        <f>+IF(OR($Q273=Parametres!$G$2,$Q273=Parametres!$G$3),J273,D273)</f>
        <v>-12000</v>
      </c>
      <c r="P273" s="655">
        <f>+IF(OR($Q273=Parametres!$G$2,$Q273=Parametres!$G$3),K273,E273)</f>
        <v>-58650</v>
      </c>
      <c r="Q273" s="654" t="str">
        <f t="shared" si="178"/>
        <v>7-Dépenses</v>
      </c>
      <c r="R273" s="653" t="str">
        <f t="shared" si="179"/>
        <v>6114</v>
      </c>
      <c r="S273" s="654" t="str">
        <f t="shared" si="180"/>
        <v>_</v>
      </c>
      <c r="T273" s="656" t="str">
        <f>+VLOOKUP($L273,Data_Validation!$A:$D,1,0)</f>
        <v>6115</v>
      </c>
      <c r="U273" s="656" t="str">
        <f>+VLOOKUP($L273,Data_Validation!$A:$D,3,0)</f>
        <v>Véhicules neufs</v>
      </c>
      <c r="V273" s="656" t="str">
        <f>+VLOOKUP($L273,Data_Validation!$A:$D,4,0)</f>
        <v>Publicité 1</v>
      </c>
      <c r="W273" s="656" t="str">
        <f>+VLOOKUP($L273,Data_Validation!$A:$E,5,0)</f>
        <v>$</v>
      </c>
      <c r="X273" s="656">
        <f>+VLOOKUP($L273,Data_Validation!$A:$F,6,0)</f>
        <v>0</v>
      </c>
    </row>
    <row r="274" spans="1:24" ht="15" customHeight="1">
      <c r="A274" s="1218" t="s">
        <v>1169</v>
      </c>
      <c r="B274" s="1218" t="s">
        <v>1170</v>
      </c>
      <c r="C274" s="1220">
        <v>40442.32</v>
      </c>
      <c r="D274" s="1220">
        <v>5637.73</v>
      </c>
      <c r="E274" s="1220">
        <v>46080.05</v>
      </c>
      <c r="F274" s="1218" t="s">
        <v>1154</v>
      </c>
      <c r="G274" s="1218" t="s">
        <v>1170</v>
      </c>
      <c r="H274" s="1218" t="s">
        <v>3950</v>
      </c>
      <c r="I274" s="670"/>
      <c r="J274" s="651"/>
      <c r="K274" s="670"/>
      <c r="L274" s="653" t="str">
        <f t="shared" si="176"/>
        <v>6121</v>
      </c>
      <c r="M274" s="654" t="str">
        <f t="shared" si="177"/>
        <v>SALAIRES - PROPRIETAIRES</v>
      </c>
      <c r="N274" s="655">
        <f>+IF(OR($Q274=Parametres!$G$2,$Q274=Parametres!$G$3),I274,C274)</f>
        <v>40442.32</v>
      </c>
      <c r="O274" s="655">
        <f>+IF(OR($Q274=Parametres!$G$2,$Q274=Parametres!$G$3),J274,D274)</f>
        <v>5637.73</v>
      </c>
      <c r="P274" s="655">
        <f>+IF(OR($Q274=Parametres!$G$2,$Q274=Parametres!$G$3),K274,E274)</f>
        <v>46080.05</v>
      </c>
      <c r="Q274" s="654" t="str">
        <f t="shared" si="178"/>
        <v>7-Dépenses</v>
      </c>
      <c r="R274" s="653" t="str">
        <f t="shared" si="179"/>
        <v>6121</v>
      </c>
      <c r="S274" s="654" t="str">
        <f t="shared" si="180"/>
        <v>_</v>
      </c>
      <c r="T274" s="656" t="str">
        <f>+VLOOKUP($L274,Data_Validation!$A:$D,1,0)</f>
        <v>6121</v>
      </c>
      <c r="U274" s="656" t="str">
        <f>+VLOOKUP($L274,Data_Validation!$A:$D,3,0)</f>
        <v>Véhicules neufs</v>
      </c>
      <c r="V274" s="656" t="str">
        <f>+VLOOKUP($L274,Data_Validation!$A:$D,4,0)</f>
        <v>Salaires propriétaire</v>
      </c>
      <c r="W274" s="656" t="str">
        <f>+VLOOKUP($L274,Data_Validation!$A:$E,5,0)</f>
        <v>$</v>
      </c>
      <c r="X274" s="656">
        <f>+VLOOKUP($L274,Data_Validation!$A:$F,6,0)</f>
        <v>0</v>
      </c>
    </row>
    <row r="275" spans="1:24" ht="15" customHeight="1">
      <c r="A275" s="1218" t="s">
        <v>1171</v>
      </c>
      <c r="B275" s="1218" t="s">
        <v>1172</v>
      </c>
      <c r="C275" s="1220">
        <v>126438.18</v>
      </c>
      <c r="D275" s="1220">
        <v>21170.97</v>
      </c>
      <c r="E275" s="1220">
        <v>147609.15</v>
      </c>
      <c r="F275" s="1218" t="s">
        <v>1154</v>
      </c>
      <c r="G275" s="1218" t="s">
        <v>1172</v>
      </c>
      <c r="H275" s="1218" t="s">
        <v>3950</v>
      </c>
      <c r="I275" s="652"/>
      <c r="J275" s="652"/>
      <c r="K275" s="652"/>
      <c r="L275" s="653" t="str">
        <f t="shared" si="176"/>
        <v>6122</v>
      </c>
      <c r="M275" s="654" t="str">
        <f t="shared" si="177"/>
        <v>SAL SUPERVISION / GERANT</v>
      </c>
      <c r="N275" s="655">
        <f>+IF(OR($Q275=Parametres!$G$2,$Q275=Parametres!$G$3),I275,C275)</f>
        <v>126438.18</v>
      </c>
      <c r="O275" s="655">
        <f>+IF(OR($Q275=Parametres!$G$2,$Q275=Parametres!$G$3),J275,D275)</f>
        <v>21170.97</v>
      </c>
      <c r="P275" s="655">
        <f>+IF(OR($Q275=Parametres!$G$2,$Q275=Parametres!$G$3),K275,E275)</f>
        <v>147609.15</v>
      </c>
      <c r="Q275" s="654" t="str">
        <f t="shared" si="178"/>
        <v>7-Dépenses</v>
      </c>
      <c r="R275" s="653" t="str">
        <f t="shared" si="179"/>
        <v>6122</v>
      </c>
      <c r="S275" s="654" t="str">
        <f t="shared" si="180"/>
        <v>_</v>
      </c>
      <c r="T275" s="656" t="str">
        <f>+VLOOKUP($L275,Data_Validation!$A:$D,1,0)</f>
        <v>6122</v>
      </c>
      <c r="U275" s="656" t="str">
        <f>+VLOOKUP($L275,Data_Validation!$A:$D,3,0)</f>
        <v>Véhicules neufs</v>
      </c>
      <c r="V275" s="656" t="str">
        <f>+VLOOKUP($L275,Data_Validation!$A:$D,4,0)</f>
        <v>Salaires cadres</v>
      </c>
      <c r="W275" s="656" t="str">
        <f>+VLOOKUP($L275,Data_Validation!$A:$E,5,0)</f>
        <v>$</v>
      </c>
      <c r="X275" s="656">
        <f>+VLOOKUP($L275,Data_Validation!$A:$F,6,0)</f>
        <v>0</v>
      </c>
    </row>
    <row r="276" spans="1:24" ht="15" customHeight="1">
      <c r="A276" s="1218" t="s">
        <v>1173</v>
      </c>
      <c r="B276" s="1218" t="s">
        <v>1174</v>
      </c>
      <c r="C276" s="1220">
        <v>77798.960000000006</v>
      </c>
      <c r="D276" s="1220">
        <v>11846.53</v>
      </c>
      <c r="E276" s="1220">
        <v>89645.49</v>
      </c>
      <c r="F276" s="1218" t="s">
        <v>1154</v>
      </c>
      <c r="G276" s="1218" t="s">
        <v>1174</v>
      </c>
      <c r="H276" s="1218" t="s">
        <v>3950</v>
      </c>
      <c r="I276" s="670"/>
      <c r="J276" s="651"/>
      <c r="K276" s="670"/>
      <c r="L276" s="653" t="str">
        <f t="shared" si="176"/>
        <v>6123</v>
      </c>
      <c r="M276" s="654" t="str">
        <f t="shared" si="177"/>
        <v>SAL. &amp; RENUM. - CLERICAL</v>
      </c>
      <c r="N276" s="655">
        <f>+IF(OR($Q276=Parametres!$G$2,$Q276=Parametres!$G$3),I276,C276)</f>
        <v>77798.960000000006</v>
      </c>
      <c r="O276" s="655">
        <f>+IF(OR($Q276=Parametres!$G$2,$Q276=Parametres!$G$3),J276,D276)</f>
        <v>11846.53</v>
      </c>
      <c r="P276" s="655">
        <f>+IF(OR($Q276=Parametres!$G$2,$Q276=Parametres!$G$3),K276,E276)</f>
        <v>89645.49</v>
      </c>
      <c r="Q276" s="654" t="str">
        <f t="shared" si="178"/>
        <v>7-Dépenses</v>
      </c>
      <c r="R276" s="653" t="str">
        <f t="shared" si="179"/>
        <v>6123</v>
      </c>
      <c r="S276" s="654" t="str">
        <f t="shared" si="180"/>
        <v>_</v>
      </c>
      <c r="T276" s="656" t="str">
        <f>+VLOOKUP($L276,Data_Validation!$A:$D,1,0)</f>
        <v>6123</v>
      </c>
      <c r="U276" s="656" t="str">
        <f>+VLOOKUP($L276,Data_Validation!$A:$D,3,0)</f>
        <v>Véhicules neufs</v>
      </c>
      <c r="V276" s="656" t="str">
        <f>+VLOOKUP($L276,Data_Validation!$A:$D,4,0)</f>
        <v>Salaires commis</v>
      </c>
      <c r="W276" s="656" t="str">
        <f>+VLOOKUP($L276,Data_Validation!$A:$E,5,0)</f>
        <v>$</v>
      </c>
      <c r="X276" s="656">
        <f>+VLOOKUP($L276,Data_Validation!$A:$F,6,0)</f>
        <v>0</v>
      </c>
    </row>
    <row r="277" spans="1:24" ht="15" customHeight="1">
      <c r="A277" s="1218" t="s">
        <v>1175</v>
      </c>
      <c r="B277" s="1218" t="s">
        <v>1176</v>
      </c>
      <c r="C277" s="1220">
        <v>9683.85</v>
      </c>
      <c r="D277" s="1220">
        <v>1963.25</v>
      </c>
      <c r="E277" s="1220">
        <v>11647.1</v>
      </c>
      <c r="F277" s="1218" t="s">
        <v>1154</v>
      </c>
      <c r="G277" s="1218" t="s">
        <v>1176</v>
      </c>
      <c r="H277" s="1218" t="s">
        <v>3950</v>
      </c>
      <c r="I277" s="652"/>
      <c r="J277" s="652"/>
      <c r="K277" s="652"/>
      <c r="L277" s="653" t="str">
        <f t="shared" si="176"/>
        <v>6124</v>
      </c>
      <c r="M277" s="654" t="str">
        <f t="shared" si="177"/>
        <v>SALAIRES &amp; RENUM. - AUTRES</v>
      </c>
      <c r="N277" s="655">
        <f>+IF(OR($Q277=Parametres!$G$2,$Q277=Parametres!$G$3),I277,C277)</f>
        <v>9683.85</v>
      </c>
      <c r="O277" s="655">
        <f>+IF(OR($Q277=Parametres!$G$2,$Q277=Parametres!$G$3),J277,D277)</f>
        <v>1963.25</v>
      </c>
      <c r="P277" s="655">
        <f>+IF(OR($Q277=Parametres!$G$2,$Q277=Parametres!$G$3),K277,E277)</f>
        <v>11647.1</v>
      </c>
      <c r="Q277" s="654" t="str">
        <f t="shared" si="178"/>
        <v>7-Dépenses</v>
      </c>
      <c r="R277" s="653" t="str">
        <f t="shared" si="179"/>
        <v>6124</v>
      </c>
      <c r="S277" s="654" t="str">
        <f t="shared" si="180"/>
        <v>_</v>
      </c>
      <c r="T277" s="656" t="str">
        <f>+VLOOKUP($L277,Data_Validation!$A:$D,1,0)</f>
        <v>6124</v>
      </c>
      <c r="U277" s="656" t="str">
        <f>+VLOOKUP($L277,Data_Validation!$A:$D,3,0)</f>
        <v>Véhicules neufs</v>
      </c>
      <c r="V277" s="656" t="str">
        <f>+VLOOKUP($L277,Data_Validation!$A:$D,4,0)</f>
        <v>Salaires autres</v>
      </c>
      <c r="W277" s="656" t="str">
        <f>+VLOOKUP($L277,Data_Validation!$A:$E,5,0)</f>
        <v>$</v>
      </c>
      <c r="X277" s="656">
        <f>+VLOOKUP($L277,Data_Validation!$A:$F,6,0)</f>
        <v>0</v>
      </c>
    </row>
    <row r="278" spans="1:24" ht="15" customHeight="1">
      <c r="A278" s="1218" t="s">
        <v>1177</v>
      </c>
      <c r="B278" s="1218" t="s">
        <v>1178</v>
      </c>
      <c r="C278" s="1220">
        <v>70592.009999999995</v>
      </c>
      <c r="D278" s="1220">
        <v>10866.84</v>
      </c>
      <c r="E278" s="1220">
        <v>81458.850000000006</v>
      </c>
      <c r="F278" s="1218" t="s">
        <v>1154</v>
      </c>
      <c r="G278" s="1218" t="s">
        <v>1178</v>
      </c>
      <c r="H278" s="1218" t="s">
        <v>3950</v>
      </c>
      <c r="I278" s="670"/>
      <c r="J278" s="651"/>
      <c r="K278" s="670"/>
      <c r="L278" s="653" t="str">
        <f t="shared" si="176"/>
        <v>6129</v>
      </c>
      <c r="M278" s="654" t="str">
        <f t="shared" si="177"/>
        <v>ABS., VACANCE &amp; SAL. JOURS FER</v>
      </c>
      <c r="N278" s="655">
        <f>+IF(OR($Q278=Parametres!$G$2,$Q278=Parametres!$G$3),I278,C278)</f>
        <v>70592.009999999995</v>
      </c>
      <c r="O278" s="659">
        <f>+IF(OR($Q278=Parametres!$G$2,$Q278=Parametres!$G$3),J278,D278)</f>
        <v>10866.84</v>
      </c>
      <c r="P278" s="655">
        <f>+IF(OR($Q278=Parametres!$G$2,$Q278=Parametres!$G$3),K278,E278)</f>
        <v>81458.850000000006</v>
      </c>
      <c r="Q278" s="654" t="str">
        <f t="shared" si="178"/>
        <v>7-Dépenses</v>
      </c>
      <c r="R278" s="653" t="str">
        <f t="shared" si="179"/>
        <v>6129</v>
      </c>
      <c r="S278" s="654" t="str">
        <f t="shared" si="180"/>
        <v>_</v>
      </c>
      <c r="T278" s="656" t="str">
        <f>+VLOOKUP($L278,Data_Validation!$A:$D,1,0)</f>
        <v>6129</v>
      </c>
      <c r="U278" s="656" t="str">
        <f>+VLOOKUP($L278,Data_Validation!$A:$D,3,0)</f>
        <v>Véhicules neufs</v>
      </c>
      <c r="V278" s="656" t="str">
        <f>+VLOOKUP($L278,Data_Validation!$A:$D,4,0)</f>
        <v>Salaires en absences</v>
      </c>
      <c r="W278" s="656" t="str">
        <f>+VLOOKUP($L278,Data_Validation!$A:$E,5,0)</f>
        <v>$</v>
      </c>
      <c r="X278" s="656">
        <f>+VLOOKUP($L278,Data_Validation!$A:$F,6,0)</f>
        <v>0</v>
      </c>
    </row>
    <row r="279" spans="1:24" ht="15.75" customHeight="1">
      <c r="A279" s="1218" t="s">
        <v>1179</v>
      </c>
      <c r="B279" s="1218" t="s">
        <v>1180</v>
      </c>
      <c r="C279" s="1220">
        <v>16649.28</v>
      </c>
      <c r="D279" s="1220">
        <v>3241.11</v>
      </c>
      <c r="E279" s="1220">
        <v>19890.39</v>
      </c>
      <c r="F279" s="1218" t="s">
        <v>1154</v>
      </c>
      <c r="G279" s="1218" t="s">
        <v>1180</v>
      </c>
      <c r="H279" s="1218" t="s">
        <v>3950</v>
      </c>
      <c r="I279" s="652"/>
      <c r="J279" s="652"/>
      <c r="K279" s="652"/>
      <c r="L279" s="653" t="str">
        <f t="shared" si="176"/>
        <v>6131</v>
      </c>
      <c r="M279" s="654" t="str">
        <f t="shared" si="177"/>
        <v>CSST</v>
      </c>
      <c r="N279" s="655">
        <f>+IF(OR($Q279=Parametres!$G$2,$Q279=Parametres!$G$3),I279,C279)</f>
        <v>16649.28</v>
      </c>
      <c r="O279" s="659">
        <f>+IF(OR($Q279=Parametres!$G$2,$Q279=Parametres!$G$3),J279,D279)</f>
        <v>3241.11</v>
      </c>
      <c r="P279" s="655">
        <f>+IF(OR($Q279=Parametres!$G$2,$Q279=Parametres!$G$3),K279,E279)</f>
        <v>19890.39</v>
      </c>
      <c r="Q279" s="654" t="str">
        <f t="shared" si="178"/>
        <v>7-Dépenses</v>
      </c>
      <c r="R279" s="653" t="str">
        <f t="shared" si="179"/>
        <v>6131</v>
      </c>
      <c r="S279" s="654" t="str">
        <f t="shared" si="180"/>
        <v>_</v>
      </c>
      <c r="T279" s="656" t="str">
        <f>+VLOOKUP($L279,Data_Validation!$A:$D,1,0)</f>
        <v>6131</v>
      </c>
      <c r="U279" s="656" t="str">
        <f>+VLOOKUP($L279,Data_Validation!$A:$D,3,0)</f>
        <v>Véhicules neufs</v>
      </c>
      <c r="V279" s="656" t="str">
        <f>+VLOOKUP($L279,Data_Validation!$A:$D,4,0)</f>
        <v>Csst</v>
      </c>
      <c r="W279" s="656" t="str">
        <f>+VLOOKUP($L279,Data_Validation!$A:$E,5,0)</f>
        <v>$</v>
      </c>
      <c r="X279" s="656">
        <f>+VLOOKUP($L279,Data_Validation!$A:$F,6,0)</f>
        <v>0</v>
      </c>
    </row>
    <row r="280" spans="1:24" ht="15" customHeight="1">
      <c r="A280" s="1218" t="s">
        <v>1181</v>
      </c>
      <c r="B280" s="1218" t="s">
        <v>1182</v>
      </c>
      <c r="C280" s="1220">
        <v>88893.71</v>
      </c>
      <c r="D280" s="1220">
        <v>13752.02</v>
      </c>
      <c r="E280" s="1220">
        <v>102645.73</v>
      </c>
      <c r="F280" s="1218" t="s">
        <v>1154</v>
      </c>
      <c r="G280" s="1218" t="s">
        <v>1182</v>
      </c>
      <c r="H280" s="1218" t="s">
        <v>3950</v>
      </c>
      <c r="I280" s="652"/>
      <c r="J280" s="652"/>
      <c r="K280" s="652"/>
      <c r="L280" s="653" t="str">
        <f t="shared" si="176"/>
        <v>6132</v>
      </c>
      <c r="M280" s="654" t="str">
        <f t="shared" si="177"/>
        <v>RRQ RAMQ AC</v>
      </c>
      <c r="N280" s="655">
        <f>+IF(OR($Q280=Parametres!$G$2,$Q280=Parametres!$G$3),I280,C280)</f>
        <v>88893.71</v>
      </c>
      <c r="O280" s="655">
        <f>+IF(OR($Q280=Parametres!$G$2,$Q280=Parametres!$G$3),J280,D280)</f>
        <v>13752.02</v>
      </c>
      <c r="P280" s="655">
        <f>+IF(OR($Q280=Parametres!$G$2,$Q280=Parametres!$G$3),K280,E280)</f>
        <v>102645.73</v>
      </c>
      <c r="Q280" s="654" t="str">
        <f t="shared" si="178"/>
        <v>7-Dépenses</v>
      </c>
      <c r="R280" s="653" t="str">
        <f t="shared" si="179"/>
        <v>6132</v>
      </c>
      <c r="S280" s="654" t="str">
        <f t="shared" si="180"/>
        <v>_</v>
      </c>
      <c r="T280" s="656" t="str">
        <f>+VLOOKUP($L280,Data_Validation!$A:$D,1,0)</f>
        <v>6132</v>
      </c>
      <c r="U280" s="656" t="str">
        <f>+VLOOKUP($L280,Data_Validation!$A:$D,3,0)</f>
        <v>Véhicules neufs</v>
      </c>
      <c r="V280" s="656" t="str">
        <f>+VLOOKUP($L280,Data_Validation!$A:$D,4,0)</f>
        <v>Déduction à la source</v>
      </c>
      <c r="W280" s="656" t="str">
        <f>+VLOOKUP($L280,Data_Validation!$A:$E,5,0)</f>
        <v>$</v>
      </c>
      <c r="X280" s="656">
        <f>+VLOOKUP($L280,Data_Validation!$A:$F,6,0)</f>
        <v>0</v>
      </c>
    </row>
    <row r="281" spans="1:24" ht="15" customHeight="1">
      <c r="A281" s="1218" t="s">
        <v>1183</v>
      </c>
      <c r="B281" s="1218" t="s">
        <v>1184</v>
      </c>
      <c r="C281" s="1220">
        <v>29594.07</v>
      </c>
      <c r="D281" s="1220">
        <v>5527.17</v>
      </c>
      <c r="E281" s="1220">
        <v>35121.24</v>
      </c>
      <c r="F281" s="1218" t="s">
        <v>1154</v>
      </c>
      <c r="G281" s="1218" t="s">
        <v>1184</v>
      </c>
      <c r="H281" s="1218" t="s">
        <v>3950</v>
      </c>
      <c r="I281" s="670"/>
      <c r="J281" s="660"/>
      <c r="K281" s="670"/>
      <c r="L281" s="653" t="str">
        <f t="shared" si="176"/>
        <v>6133</v>
      </c>
      <c r="M281" s="668" t="str">
        <f t="shared" si="177"/>
        <v>FOND PENSION - NEUF</v>
      </c>
      <c r="N281" s="655">
        <f>+IF(OR($Q281=Parametres!$G$2,$Q281=Parametres!$G$3),I281,C281)</f>
        <v>29594.07</v>
      </c>
      <c r="O281" s="659">
        <f>+IF(OR($Q281=Parametres!$G$2,$Q281=Parametres!$G$3),J281,D281)</f>
        <v>5527.17</v>
      </c>
      <c r="P281" s="669">
        <f>+IF(OR($Q281=Parametres!$G$2,$Q281=Parametres!$G$3),K281,E281)</f>
        <v>35121.24</v>
      </c>
      <c r="Q281" s="654" t="str">
        <f t="shared" si="178"/>
        <v>7-Dépenses</v>
      </c>
      <c r="R281" s="653" t="str">
        <f t="shared" si="179"/>
        <v>6133</v>
      </c>
      <c r="S281" s="654" t="str">
        <f t="shared" si="180"/>
        <v>_</v>
      </c>
      <c r="T281" s="656" t="str">
        <f>+VLOOKUP($L281,Data_Validation!$A:$D,1,0)</f>
        <v>6133</v>
      </c>
      <c r="U281" s="656" t="str">
        <f>+VLOOKUP($L281,Data_Validation!$A:$D,3,0)</f>
        <v>Véhicules neufs</v>
      </c>
      <c r="V281" s="656" t="str">
        <f>+VLOOKUP($L281,Data_Validation!$A:$D,4,0)</f>
        <v>Bénéfices marginaux</v>
      </c>
      <c r="W281" s="656" t="str">
        <f>+VLOOKUP($L281,Data_Validation!$A:$E,5,0)</f>
        <v>$</v>
      </c>
      <c r="X281" s="656">
        <f>+VLOOKUP($L281,Data_Validation!$A:$F,6,0)</f>
        <v>0</v>
      </c>
    </row>
    <row r="282" spans="1:24" ht="15" customHeight="1">
      <c r="A282" s="1218" t="s">
        <v>1185</v>
      </c>
      <c r="B282" s="1218" t="s">
        <v>1186</v>
      </c>
      <c r="C282" s="1220">
        <v>13408.68</v>
      </c>
      <c r="D282" s="1220">
        <v>1651.01</v>
      </c>
      <c r="E282" s="1220">
        <v>15059.69</v>
      </c>
      <c r="F282" s="1218" t="s">
        <v>1154</v>
      </c>
      <c r="G282" s="1218" t="s">
        <v>1186</v>
      </c>
      <c r="H282" s="1218" t="s">
        <v>3950</v>
      </c>
      <c r="I282" s="652"/>
      <c r="J282" s="652"/>
      <c r="K282" s="652"/>
      <c r="L282" s="653" t="str">
        <f t="shared" si="176"/>
        <v>6139</v>
      </c>
      <c r="M282" s="654" t="str">
        <f t="shared" si="177"/>
        <v>ASSURANCE GROUPS</v>
      </c>
      <c r="N282" s="655">
        <f>+IF(OR($Q282=Parametres!$G$2,$Q282=Parametres!$G$3),I282,C282)</f>
        <v>13408.68</v>
      </c>
      <c r="O282" s="655">
        <f>+IF(OR($Q282=Parametres!$G$2,$Q282=Parametres!$G$3),J282,D282)</f>
        <v>1651.01</v>
      </c>
      <c r="P282" s="655">
        <f>+IF(OR($Q282=Parametres!$G$2,$Q282=Parametres!$G$3),K282,E282)</f>
        <v>15059.69</v>
      </c>
      <c r="Q282" s="654" t="str">
        <f t="shared" si="178"/>
        <v>7-Dépenses</v>
      </c>
      <c r="R282" s="653" t="str">
        <f t="shared" si="179"/>
        <v>6139</v>
      </c>
      <c r="S282" s="654" t="str">
        <f t="shared" si="180"/>
        <v>_</v>
      </c>
      <c r="T282" s="656" t="str">
        <f>+VLOOKUP($L282,Data_Validation!$A:$D,1,0)</f>
        <v>6139</v>
      </c>
      <c r="U282" s="656" t="str">
        <f>+VLOOKUP($L282,Data_Validation!$A:$D,3,0)</f>
        <v>Véhicules neufs</v>
      </c>
      <c r="V282" s="656" t="str">
        <f>+VLOOKUP($L282,Data_Validation!$A:$D,4,0)</f>
        <v>Bénéfices marginaux</v>
      </c>
      <c r="W282" s="656" t="str">
        <f>+VLOOKUP($L282,Data_Validation!$A:$E,5,0)</f>
        <v>$</v>
      </c>
      <c r="X282" s="656">
        <f>+VLOOKUP($L282,Data_Validation!$A:$F,6,0)</f>
        <v>0</v>
      </c>
    </row>
    <row r="283" spans="1:24" ht="15.75" customHeight="1">
      <c r="A283" s="1218" t="s">
        <v>1187</v>
      </c>
      <c r="B283" s="1218" t="s">
        <v>1188</v>
      </c>
      <c r="C283" s="1220">
        <v>306.39</v>
      </c>
      <c r="D283" s="1220">
        <v>0</v>
      </c>
      <c r="E283" s="1220">
        <v>306.39</v>
      </c>
      <c r="F283" s="1218" t="s">
        <v>1154</v>
      </c>
      <c r="G283" s="1218" t="s">
        <v>1188</v>
      </c>
      <c r="H283" s="1218" t="s">
        <v>3950</v>
      </c>
      <c r="I283" s="663"/>
      <c r="J283" s="663"/>
      <c r="K283" s="663"/>
      <c r="L283" s="653" t="str">
        <f t="shared" si="176"/>
        <v>6142</v>
      </c>
      <c r="M283" s="654" t="str">
        <f t="shared" si="177"/>
        <v>FOURNITURES &amp; PETITS OUTILS</v>
      </c>
      <c r="N283" s="655">
        <f>+IF(OR($Q283=Parametres!$G$2,$Q283=Parametres!$G$3),I283,C283)</f>
        <v>306.39</v>
      </c>
      <c r="O283" s="655">
        <f>+IF(OR($Q283=Parametres!$G$2,$Q283=Parametres!$G$3),J283,D283)</f>
        <v>0</v>
      </c>
      <c r="P283" s="655">
        <f>+IF(OR($Q283=Parametres!$G$2,$Q283=Parametres!$G$3),K283,E283)</f>
        <v>306.39</v>
      </c>
      <c r="Q283" s="654" t="str">
        <f t="shared" si="178"/>
        <v>7-Dépenses</v>
      </c>
      <c r="R283" s="653" t="str">
        <f t="shared" si="179"/>
        <v>6142</v>
      </c>
      <c r="S283" s="654" t="str">
        <f t="shared" si="180"/>
        <v>_</v>
      </c>
      <c r="T283" s="656" t="str">
        <f>+VLOOKUP($L283,Data_Validation!$A:$D,1,0)</f>
        <v>6142</v>
      </c>
      <c r="U283" s="656" t="str">
        <f>+VLOOKUP($L283,Data_Validation!$A:$D,3,0)</f>
        <v>Véhicules neufs</v>
      </c>
      <c r="V283" s="656" t="str">
        <f>+VLOOKUP($L283,Data_Validation!$A:$D,4,0)</f>
        <v>Fournitures autres</v>
      </c>
      <c r="W283" s="656" t="str">
        <f>+VLOOKUP($L283,Data_Validation!$A:$E,5,0)</f>
        <v>$</v>
      </c>
      <c r="X283" s="656">
        <f>+VLOOKUP($L283,Data_Validation!$A:$F,6,0)</f>
        <v>0</v>
      </c>
    </row>
    <row r="284" spans="1:24" ht="15" customHeight="1">
      <c r="A284" s="1218" t="s">
        <v>1189</v>
      </c>
      <c r="B284" s="1218" t="s">
        <v>1190</v>
      </c>
      <c r="C284" s="1220">
        <v>623</v>
      </c>
      <c r="D284" s="1220">
        <v>0</v>
      </c>
      <c r="E284" s="1220">
        <v>623</v>
      </c>
      <c r="F284" s="1218" t="s">
        <v>1154</v>
      </c>
      <c r="G284" s="1218" t="s">
        <v>1190</v>
      </c>
      <c r="H284" s="1218" t="s">
        <v>3950</v>
      </c>
      <c r="I284" s="651"/>
      <c r="J284" s="651"/>
      <c r="K284" s="670"/>
      <c r="L284" s="653" t="str">
        <f t="shared" si="176"/>
        <v>6143</v>
      </c>
      <c r="M284" s="654" t="str">
        <f t="shared" si="177"/>
        <v>UNIFORMES &amp; LESSIVE</v>
      </c>
      <c r="N284" s="655">
        <f>+IF(OR($Q284=Parametres!$G$2,$Q284=Parametres!$G$3),I284,C284)</f>
        <v>623</v>
      </c>
      <c r="O284" s="659">
        <f>+IF(OR($Q284=Parametres!$G$2,$Q284=Parametres!$G$3),J284,D284)</f>
        <v>0</v>
      </c>
      <c r="P284" s="655">
        <f>+IF(OR($Q284=Parametres!$G$2,$Q284=Parametres!$G$3),K284,E284)</f>
        <v>623</v>
      </c>
      <c r="Q284" s="654" t="str">
        <f t="shared" si="178"/>
        <v>7-Dépenses</v>
      </c>
      <c r="R284" s="653" t="str">
        <f t="shared" si="179"/>
        <v>6143</v>
      </c>
      <c r="S284" s="654" t="str">
        <f t="shared" si="180"/>
        <v>_</v>
      </c>
      <c r="T284" s="656" t="str">
        <f>+VLOOKUP($L284,Data_Validation!$A:$D,1,0)</f>
        <v>6143</v>
      </c>
      <c r="U284" s="656" t="str">
        <f>+VLOOKUP($L284,Data_Validation!$A:$D,3,0)</f>
        <v>Véhicules neufs</v>
      </c>
      <c r="V284" s="656" t="str">
        <f>+VLOOKUP($L284,Data_Validation!$A:$D,4,0)</f>
        <v>Uniformes</v>
      </c>
      <c r="W284" s="656" t="str">
        <f>+VLOOKUP($L284,Data_Validation!$A:$E,5,0)</f>
        <v>$</v>
      </c>
      <c r="X284" s="656">
        <f>+VLOOKUP($L284,Data_Validation!$A:$F,6,0)</f>
        <v>0</v>
      </c>
    </row>
    <row r="285" spans="1:24" ht="15" customHeight="1">
      <c r="A285" s="1218" t="s">
        <v>1191</v>
      </c>
      <c r="B285" s="1218" t="s">
        <v>1192</v>
      </c>
      <c r="C285" s="1220">
        <v>12977.17</v>
      </c>
      <c r="D285" s="1220">
        <v>2528.0700000000002</v>
      </c>
      <c r="E285" s="1220">
        <v>15505.24</v>
      </c>
      <c r="F285" s="1218" t="s">
        <v>1154</v>
      </c>
      <c r="G285" s="1218" t="s">
        <v>1192</v>
      </c>
      <c r="H285" s="1218" t="s">
        <v>3950</v>
      </c>
      <c r="I285" s="652"/>
      <c r="J285" s="652"/>
      <c r="K285" s="652"/>
      <c r="L285" s="653" t="str">
        <f t="shared" si="176"/>
        <v>6144</v>
      </c>
      <c r="M285" s="654" t="str">
        <f t="shared" si="177"/>
        <v>FORMATION</v>
      </c>
      <c r="N285" s="655">
        <f>+IF(OR($Q285=Parametres!$G$2,$Q285=Parametres!$G$3),I285,C285)</f>
        <v>12977.17</v>
      </c>
      <c r="O285" s="655">
        <f>+IF(OR($Q285=Parametres!$G$2,$Q285=Parametres!$G$3),J285,D285)</f>
        <v>2528.0700000000002</v>
      </c>
      <c r="P285" s="655">
        <f>+IF(OR($Q285=Parametres!$G$2,$Q285=Parametres!$G$3),K285,E285)</f>
        <v>15505.24</v>
      </c>
      <c r="Q285" s="654" t="str">
        <f t="shared" si="178"/>
        <v>7-Dépenses</v>
      </c>
      <c r="R285" s="653" t="str">
        <f t="shared" si="179"/>
        <v>6144</v>
      </c>
      <c r="S285" s="654" t="str">
        <f t="shared" si="180"/>
        <v>_</v>
      </c>
      <c r="T285" s="656" t="str">
        <f>+VLOOKUP($L285,Data_Validation!$A:$D,1,0)</f>
        <v>6144</v>
      </c>
      <c r="U285" s="656" t="str">
        <f>+VLOOKUP($L285,Data_Validation!$A:$D,3,0)</f>
        <v>Véhicules neufs</v>
      </c>
      <c r="V285" s="656" t="str">
        <f>+VLOOKUP($L285,Data_Validation!$A:$D,4,0)</f>
        <v>Formation</v>
      </c>
      <c r="W285" s="656" t="str">
        <f>+VLOOKUP($L285,Data_Validation!$A:$E,5,0)</f>
        <v>$</v>
      </c>
      <c r="X285" s="656">
        <f>+VLOOKUP($L285,Data_Validation!$A:$F,6,0)</f>
        <v>0</v>
      </c>
    </row>
    <row r="286" spans="1:24" ht="15" customHeight="1">
      <c r="A286" s="1218" t="s">
        <v>1193</v>
      </c>
      <c r="B286" s="1218" t="s">
        <v>1194</v>
      </c>
      <c r="C286" s="1220">
        <v>60512.19</v>
      </c>
      <c r="D286" s="1220">
        <v>7490.62</v>
      </c>
      <c r="E286" s="1220">
        <v>68002.81</v>
      </c>
      <c r="F286" s="1218" t="s">
        <v>1154</v>
      </c>
      <c r="G286" s="1218" t="s">
        <v>1194</v>
      </c>
      <c r="H286" s="1218" t="s">
        <v>3950</v>
      </c>
      <c r="I286" s="652"/>
      <c r="J286" s="652"/>
      <c r="K286" s="652"/>
      <c r="L286" s="653" t="str">
        <f t="shared" si="176"/>
        <v>6145</v>
      </c>
      <c r="M286" s="654" t="str">
        <f t="shared" si="177"/>
        <v>VEHICULE DE COMPAGNIE - DEPENS</v>
      </c>
      <c r="N286" s="655">
        <f>+IF(OR($Q286=Parametres!$G$2,$Q286=Parametres!$G$3),I286,C286)</f>
        <v>60512.19</v>
      </c>
      <c r="O286" s="659">
        <f>+IF(OR($Q286=Parametres!$G$2,$Q286=Parametres!$G$3),J286,D286)</f>
        <v>7490.62</v>
      </c>
      <c r="P286" s="655">
        <f>+IF(OR($Q286=Parametres!$G$2,$Q286=Parametres!$G$3),K286,E286)</f>
        <v>68002.81</v>
      </c>
      <c r="Q286" s="654" t="str">
        <f t="shared" si="178"/>
        <v>7-Dépenses</v>
      </c>
      <c r="R286" s="653" t="str">
        <f t="shared" si="179"/>
        <v>6145</v>
      </c>
      <c r="S286" s="654" t="str">
        <f t="shared" si="180"/>
        <v>_</v>
      </c>
      <c r="T286" s="656" t="str">
        <f>+VLOOKUP($L286,Data_Validation!$A:$D,1,0)</f>
        <v>6145</v>
      </c>
      <c r="U286" s="656" t="str">
        <f>+VLOOKUP($L286,Data_Validation!$A:$D,3,0)</f>
        <v>Véhicules neufs</v>
      </c>
      <c r="V286" s="656" t="str">
        <f>+VLOOKUP($L286,Data_Validation!$A:$D,4,0)</f>
        <v>Frais véhicules de cie</v>
      </c>
      <c r="W286" s="656" t="str">
        <f>+VLOOKUP($L286,Data_Validation!$A:$E,5,0)</f>
        <v>$</v>
      </c>
      <c r="X286" s="656">
        <f>+VLOOKUP($L286,Data_Validation!$A:$F,6,0)</f>
        <v>0</v>
      </c>
    </row>
    <row r="287" spans="1:24" ht="15.75" customHeight="1">
      <c r="A287" s="1218" t="s">
        <v>1195</v>
      </c>
      <c r="B287" s="1218" t="s">
        <v>1196</v>
      </c>
      <c r="C287" s="1220">
        <v>2010.32</v>
      </c>
      <c r="D287" s="1220">
        <v>54.6</v>
      </c>
      <c r="E287" s="1220">
        <v>2064.92</v>
      </c>
      <c r="F287" s="1218" t="s">
        <v>1154</v>
      </c>
      <c r="G287" s="1218" t="s">
        <v>1196</v>
      </c>
      <c r="H287" s="1218" t="s">
        <v>3950</v>
      </c>
      <c r="I287" s="652"/>
      <c r="J287" s="652"/>
      <c r="K287" s="652"/>
      <c r="L287" s="653" t="str">
        <f t="shared" si="176"/>
        <v>6147</v>
      </c>
      <c r="M287" s="654" t="str">
        <f t="shared" si="177"/>
        <v>FRET/EXPRESS/TRANS. PAR CAMION</v>
      </c>
      <c r="N287" s="655">
        <f>+IF(OR($Q287=Parametres!$G$2,$Q287=Parametres!$G$3),I287,C287)</f>
        <v>2010.32</v>
      </c>
      <c r="O287" s="655">
        <f>+IF(OR($Q287=Parametres!$G$2,$Q287=Parametres!$G$3),J287,D287)</f>
        <v>54.6</v>
      </c>
      <c r="P287" s="655">
        <f>+IF(OR($Q287=Parametres!$G$2,$Q287=Parametres!$G$3),K287,E287)</f>
        <v>2064.92</v>
      </c>
      <c r="Q287" s="654" t="str">
        <f t="shared" si="178"/>
        <v>7-Dépenses</v>
      </c>
      <c r="R287" s="653" t="str">
        <f t="shared" si="179"/>
        <v>6147</v>
      </c>
      <c r="S287" s="654" t="str">
        <f t="shared" si="180"/>
        <v>_</v>
      </c>
      <c r="T287" s="656" t="str">
        <f>+VLOOKUP($L287,Data_Validation!$A:$D,1,0)</f>
        <v>6147</v>
      </c>
      <c r="U287" s="656" t="str">
        <f>+VLOOKUP($L287,Data_Validation!$A:$D,3,0)</f>
        <v>Véhicules neufs</v>
      </c>
      <c r="V287" s="656" t="str">
        <f>+VLOOKUP($L287,Data_Validation!$A:$D,4,0)</f>
        <v>Frais postaux</v>
      </c>
      <c r="W287" s="656" t="str">
        <f>+VLOOKUP($L287,Data_Validation!$A:$E,5,0)</f>
        <v>$</v>
      </c>
      <c r="X287" s="656">
        <f>+VLOOKUP($L287,Data_Validation!$A:$F,6,0)</f>
        <v>0</v>
      </c>
    </row>
    <row r="288" spans="1:24" ht="15" customHeight="1">
      <c r="A288" s="1218" t="s">
        <v>1197</v>
      </c>
      <c r="B288" s="1218" t="s">
        <v>1198</v>
      </c>
      <c r="C288" s="1220">
        <v>42249.54</v>
      </c>
      <c r="D288" s="1220">
        <v>7652.37</v>
      </c>
      <c r="E288" s="1220">
        <v>49901.91</v>
      </c>
      <c r="F288" s="1218" t="s">
        <v>1154</v>
      </c>
      <c r="G288" s="1218" t="s">
        <v>1198</v>
      </c>
      <c r="H288" s="1218" t="s">
        <v>3950</v>
      </c>
      <c r="I288" s="663"/>
      <c r="J288" s="663"/>
      <c r="K288" s="663"/>
      <c r="L288" s="653" t="str">
        <f t="shared" si="176"/>
        <v>6151</v>
      </c>
      <c r="M288" s="654" t="str">
        <f t="shared" si="177"/>
        <v>DEP. DU TRAITEMENT DES DONNEES</v>
      </c>
      <c r="N288" s="655">
        <f>+IF(OR($Q288=Parametres!$G$2,$Q288=Parametres!$G$3),I288,C288)</f>
        <v>42249.54</v>
      </c>
      <c r="O288" s="655">
        <f>+IF(OR($Q288=Parametres!$G$2,$Q288=Parametres!$G$3),J288,D288)</f>
        <v>7652.37</v>
      </c>
      <c r="P288" s="655">
        <f>+IF(OR($Q288=Parametres!$G$2,$Q288=Parametres!$G$3),K288,E288)</f>
        <v>49901.91</v>
      </c>
      <c r="Q288" s="654" t="str">
        <f t="shared" si="178"/>
        <v>7-Dépenses</v>
      </c>
      <c r="R288" s="653" t="str">
        <f t="shared" si="179"/>
        <v>6151</v>
      </c>
      <c r="S288" s="654" t="str">
        <f t="shared" si="180"/>
        <v>_</v>
      </c>
      <c r="T288" s="656" t="str">
        <f>+VLOOKUP($L288,Data_Validation!$A:$D,1,0)</f>
        <v>6151</v>
      </c>
      <c r="U288" s="656" t="str">
        <f>+VLOOKUP($L288,Data_Validation!$A:$D,3,0)</f>
        <v>Véhicules neufs</v>
      </c>
      <c r="V288" s="656" t="str">
        <f>+VLOOKUP($L288,Data_Validation!$A:$D,4,0)</f>
        <v>Informatique</v>
      </c>
      <c r="W288" s="656" t="str">
        <f>+VLOOKUP($L288,Data_Validation!$A:$E,5,0)</f>
        <v>$</v>
      </c>
      <c r="X288" s="656">
        <f>+VLOOKUP($L288,Data_Validation!$A:$F,6,0)</f>
        <v>0</v>
      </c>
    </row>
    <row r="289" spans="1:24" ht="15" customHeight="1">
      <c r="A289" s="1218" t="s">
        <v>1199</v>
      </c>
      <c r="B289" s="1218" t="s">
        <v>1200</v>
      </c>
      <c r="C289" s="1220">
        <v>3260.72</v>
      </c>
      <c r="D289" s="1220">
        <v>218.53</v>
      </c>
      <c r="E289" s="1220">
        <v>3479.25</v>
      </c>
      <c r="F289" s="1218" t="s">
        <v>1154</v>
      </c>
      <c r="G289" s="1218" t="s">
        <v>1200</v>
      </c>
      <c r="H289" s="1218" t="s">
        <v>3950</v>
      </c>
      <c r="I289" s="670"/>
      <c r="J289" s="651"/>
      <c r="K289" s="670"/>
      <c r="L289" s="653" t="str">
        <f t="shared" si="176"/>
        <v>6152</v>
      </c>
      <c r="M289" s="654" t="str">
        <f t="shared" si="177"/>
        <v>PAPETERIE</v>
      </c>
      <c r="N289" s="655">
        <f>+IF(OR($Q289=Parametres!$G$2,$Q289=Parametres!$G$3),I289,C289)</f>
        <v>3260.72</v>
      </c>
      <c r="O289" s="655">
        <f>+IF(OR($Q289=Parametres!$G$2,$Q289=Parametres!$G$3),J289,D289)</f>
        <v>218.53</v>
      </c>
      <c r="P289" s="655">
        <f>+IF(OR($Q289=Parametres!$G$2,$Q289=Parametres!$G$3),K289,E289)</f>
        <v>3479.25</v>
      </c>
      <c r="Q289" s="654" t="str">
        <f t="shared" si="178"/>
        <v>7-Dépenses</v>
      </c>
      <c r="R289" s="653" t="str">
        <f t="shared" si="179"/>
        <v>6152</v>
      </c>
      <c r="S289" s="654" t="str">
        <f t="shared" si="180"/>
        <v>_</v>
      </c>
      <c r="T289" s="656" t="str">
        <f>+VLOOKUP($L289,Data_Validation!$A:$D,1,0)</f>
        <v>6152</v>
      </c>
      <c r="U289" s="656" t="str">
        <f>+VLOOKUP($L289,Data_Validation!$A:$D,3,0)</f>
        <v>Véhicules neufs</v>
      </c>
      <c r="V289" s="656" t="str">
        <f>+VLOOKUP($L289,Data_Validation!$A:$D,4,0)</f>
        <v>Papeterie</v>
      </c>
      <c r="W289" s="656" t="str">
        <f>+VLOOKUP($L289,Data_Validation!$A:$E,5,0)</f>
        <v>$</v>
      </c>
      <c r="X289" s="656">
        <f>+VLOOKUP($L289,Data_Validation!$A:$F,6,0)</f>
        <v>0</v>
      </c>
    </row>
    <row r="290" spans="1:24" ht="15" customHeight="1">
      <c r="A290" s="1218" t="s">
        <v>1201</v>
      </c>
      <c r="B290" s="1218" t="s">
        <v>1202</v>
      </c>
      <c r="C290" s="1220">
        <v>2554.6799999999998</v>
      </c>
      <c r="D290" s="1220">
        <v>355.13</v>
      </c>
      <c r="E290" s="1220">
        <v>2909.81</v>
      </c>
      <c r="F290" s="1218" t="s">
        <v>1154</v>
      </c>
      <c r="G290" s="1218" t="s">
        <v>1202</v>
      </c>
      <c r="H290" s="1218" t="s">
        <v>3950</v>
      </c>
      <c r="I290" s="652"/>
      <c r="J290" s="652"/>
      <c r="K290" s="652"/>
      <c r="L290" s="653" t="str">
        <f t="shared" si="176"/>
        <v>6153</v>
      </c>
      <c r="M290" s="654" t="str">
        <f t="shared" si="177"/>
        <v>TELEPHONE ET TELEX</v>
      </c>
      <c r="N290" s="655">
        <f>+IF(OR($Q290=Parametres!$G$2,$Q290=Parametres!$G$3),I290,C290)</f>
        <v>2554.6799999999998</v>
      </c>
      <c r="O290" s="655">
        <f>+IF(OR($Q290=Parametres!$G$2,$Q290=Parametres!$G$3),J290,D290)</f>
        <v>355.13</v>
      </c>
      <c r="P290" s="655">
        <f>+IF(OR($Q290=Parametres!$G$2,$Q290=Parametres!$G$3),K290,E290)</f>
        <v>2909.81</v>
      </c>
      <c r="Q290" s="654" t="str">
        <f t="shared" si="178"/>
        <v>7-Dépenses</v>
      </c>
      <c r="R290" s="653" t="str">
        <f t="shared" si="179"/>
        <v>6153</v>
      </c>
      <c r="S290" s="654" t="str">
        <f t="shared" si="180"/>
        <v>_</v>
      </c>
      <c r="T290" s="656" t="str">
        <f>+VLOOKUP($L290,Data_Validation!$A:$D,1,0)</f>
        <v>6153</v>
      </c>
      <c r="U290" s="656" t="str">
        <f>+VLOOKUP($L290,Data_Validation!$A:$D,3,0)</f>
        <v>Véhicules neufs</v>
      </c>
      <c r="V290" s="656" t="str">
        <f>+VLOOKUP($L290,Data_Validation!$A:$D,4,0)</f>
        <v>Téléphone</v>
      </c>
      <c r="W290" s="656" t="str">
        <f>+VLOOKUP($L290,Data_Validation!$A:$E,5,0)</f>
        <v>$</v>
      </c>
      <c r="X290" s="656">
        <f>+VLOOKUP($L290,Data_Validation!$A:$F,6,0)</f>
        <v>0</v>
      </c>
    </row>
    <row r="291" spans="1:24" ht="15.75" customHeight="1">
      <c r="A291" s="1218" t="s">
        <v>1203</v>
      </c>
      <c r="B291" s="1218" t="s">
        <v>1204</v>
      </c>
      <c r="C291" s="1220">
        <v>527.32000000000005</v>
      </c>
      <c r="D291" s="1220">
        <v>62.72</v>
      </c>
      <c r="E291" s="1220">
        <v>590.04</v>
      </c>
      <c r="F291" s="1218" t="s">
        <v>1154</v>
      </c>
      <c r="G291" s="1218" t="s">
        <v>1204</v>
      </c>
      <c r="H291" s="1218" t="s">
        <v>3950</v>
      </c>
      <c r="I291" s="651"/>
      <c r="J291" s="651"/>
      <c r="K291" s="670"/>
      <c r="L291" s="653" t="str">
        <f t="shared" si="176"/>
        <v>6155</v>
      </c>
      <c r="M291" s="654" t="str">
        <f t="shared" si="177"/>
        <v>DEPENSES DIVERS</v>
      </c>
      <c r="N291" s="655">
        <f>+IF(OR($Q291=Parametres!$G$2,$Q291=Parametres!$G$3),I291,C291)</f>
        <v>527.32000000000005</v>
      </c>
      <c r="O291" s="659">
        <f>+IF(OR($Q291=Parametres!$G$2,$Q291=Parametres!$G$3),J291,D291)</f>
        <v>62.72</v>
      </c>
      <c r="P291" s="655">
        <f>+IF(OR($Q291=Parametres!$G$2,$Q291=Parametres!$G$3),K291,E291)</f>
        <v>590.04</v>
      </c>
      <c r="Q291" s="654" t="str">
        <f t="shared" si="178"/>
        <v>7-Dépenses</v>
      </c>
      <c r="R291" s="653" t="str">
        <f t="shared" si="179"/>
        <v>6155</v>
      </c>
      <c r="S291" s="654" t="str">
        <f t="shared" si="180"/>
        <v>_</v>
      </c>
      <c r="T291" s="656" t="str">
        <f>+VLOOKUP($L291,Data_Validation!$A:$D,1,0)</f>
        <v>6155</v>
      </c>
      <c r="U291" s="656" t="str">
        <f>+VLOOKUP($L291,Data_Validation!$A:$D,3,0)</f>
        <v>Véhicules neufs</v>
      </c>
      <c r="V291" s="656" t="str">
        <f>+VLOOKUP($L291,Data_Validation!$A:$D,4,0)</f>
        <v>Divers</v>
      </c>
      <c r="W291" s="656" t="str">
        <f>+VLOOKUP($L291,Data_Validation!$A:$E,5,0)</f>
        <v>$</v>
      </c>
      <c r="X291" s="656">
        <f>+VLOOKUP($L291,Data_Validation!$A:$F,6,0)</f>
        <v>0</v>
      </c>
    </row>
    <row r="292" spans="1:24" ht="15" customHeight="1">
      <c r="A292" s="1218" t="s">
        <v>1205</v>
      </c>
      <c r="B292" s="1218" t="s">
        <v>1206</v>
      </c>
      <c r="C292" s="1220">
        <v>9372.5499999999993</v>
      </c>
      <c r="D292" s="1220">
        <v>1293.58</v>
      </c>
      <c r="E292" s="1220">
        <v>10666.13</v>
      </c>
      <c r="F292" s="1218" t="s">
        <v>1154</v>
      </c>
      <c r="G292" s="1218" t="s">
        <v>1206</v>
      </c>
      <c r="H292" s="1218" t="s">
        <v>3950</v>
      </c>
      <c r="I292" s="652"/>
      <c r="J292" s="652"/>
      <c r="K292" s="652"/>
      <c r="L292" s="653" t="str">
        <f t="shared" si="176"/>
        <v>6156</v>
      </c>
      <c r="M292" s="654" t="str">
        <f t="shared" si="177"/>
        <v>FRAIS REPRESENTATION - NEUF</v>
      </c>
      <c r="N292" s="655">
        <f>+IF(OR($Q292=Parametres!$G$2,$Q292=Parametres!$G$3),I292,C292)</f>
        <v>9372.5499999999993</v>
      </c>
      <c r="O292" s="655">
        <f>+IF(OR($Q292=Parametres!$G$2,$Q292=Parametres!$G$3),J292,D292)</f>
        <v>1293.58</v>
      </c>
      <c r="P292" s="655">
        <f>+IF(OR($Q292=Parametres!$G$2,$Q292=Parametres!$G$3),K292,E292)</f>
        <v>10666.13</v>
      </c>
      <c r="Q292" s="654" t="str">
        <f t="shared" si="178"/>
        <v>7-Dépenses</v>
      </c>
      <c r="R292" s="653" t="str">
        <f t="shared" si="179"/>
        <v>6156</v>
      </c>
      <c r="S292" s="654" t="str">
        <f t="shared" si="180"/>
        <v>_</v>
      </c>
      <c r="T292" s="656" t="str">
        <f>+VLOOKUP($L292,Data_Validation!$A:$D,1,0)</f>
        <v>6156</v>
      </c>
      <c r="U292" s="656" t="str">
        <f>+VLOOKUP($L292,Data_Validation!$A:$D,3,0)</f>
        <v>Véhicules neufs</v>
      </c>
      <c r="V292" s="656" t="str">
        <f>+VLOOKUP($L292,Data_Validation!$A:$D,4,0)</f>
        <v>Frais de déplacement</v>
      </c>
      <c r="W292" s="656" t="str">
        <f>+VLOOKUP($L292,Data_Validation!$A:$E,5,0)</f>
        <v>$</v>
      </c>
      <c r="X292" s="656">
        <f>+VLOOKUP($L292,Data_Validation!$A:$F,6,0)</f>
        <v>0</v>
      </c>
    </row>
    <row r="293" spans="1:24" ht="15" customHeight="1">
      <c r="A293" s="1218" t="s">
        <v>1207</v>
      </c>
      <c r="B293" s="1218" t="s">
        <v>3388</v>
      </c>
      <c r="C293" s="1220">
        <v>21369.9</v>
      </c>
      <c r="D293" s="1220">
        <v>3902.37</v>
      </c>
      <c r="E293" s="1220">
        <v>25272.27</v>
      </c>
      <c r="F293" s="1218" t="s">
        <v>1154</v>
      </c>
      <c r="G293" s="1218" t="s">
        <v>1208</v>
      </c>
      <c r="H293" s="1218" t="s">
        <v>3950</v>
      </c>
      <c r="I293" s="651"/>
      <c r="J293" s="651"/>
      <c r="K293" s="651"/>
      <c r="L293" s="653" t="str">
        <f t="shared" si="176"/>
        <v>6157</v>
      </c>
      <c r="M293" s="654" t="str">
        <f t="shared" si="177"/>
        <v>FRAIS BANCAIRES - NEUF</v>
      </c>
      <c r="N293" s="655">
        <f>+IF(OR($Q293=Parametres!$G$2,$Q293=Parametres!$G$3),I293,C293)</f>
        <v>21369.9</v>
      </c>
      <c r="O293" s="655">
        <f>+IF(OR($Q293=Parametres!$G$2,$Q293=Parametres!$G$3),J293,D293)</f>
        <v>3902.37</v>
      </c>
      <c r="P293" s="655">
        <f>+IF(OR($Q293=Parametres!$G$2,$Q293=Parametres!$G$3),K293,E293)</f>
        <v>25272.27</v>
      </c>
      <c r="Q293" s="654" t="str">
        <f t="shared" si="178"/>
        <v>7-Dépenses</v>
      </c>
      <c r="R293" s="653" t="str">
        <f t="shared" si="179"/>
        <v>615</v>
      </c>
      <c r="S293" s="654" t="str">
        <f t="shared" si="180"/>
        <v>_</v>
      </c>
      <c r="T293" s="656" t="str">
        <f>+VLOOKUP($L293,Data_Validation!$A:$D,1,0)</f>
        <v>6157</v>
      </c>
      <c r="U293" s="656" t="str">
        <f>+VLOOKUP($L293,Data_Validation!$A:$D,3,0)</f>
        <v>Véhicules neufs</v>
      </c>
      <c r="V293" s="656" t="str">
        <f>+VLOOKUP($L293,Data_Validation!$A:$D,4,0)</f>
        <v>Frais bancaires</v>
      </c>
      <c r="W293" s="656" t="str">
        <f>+VLOOKUP($L293,Data_Validation!$A:$E,5,0)</f>
        <v>$</v>
      </c>
      <c r="X293" s="656">
        <f>+VLOOKUP($L293,Data_Validation!$A:$F,6,0)</f>
        <v>0</v>
      </c>
    </row>
    <row r="294" spans="1:24" ht="15" customHeight="1">
      <c r="A294" s="1218" t="s">
        <v>1209</v>
      </c>
      <c r="B294" s="1218" t="s">
        <v>1210</v>
      </c>
      <c r="C294" s="1220">
        <v>46763.5</v>
      </c>
      <c r="D294" s="1220">
        <v>8436.09</v>
      </c>
      <c r="E294" s="1220">
        <v>55199.59</v>
      </c>
      <c r="F294" s="1218" t="s">
        <v>1154</v>
      </c>
      <c r="G294" s="1218" t="s">
        <v>1210</v>
      </c>
      <c r="H294" s="1218" t="s">
        <v>3950</v>
      </c>
      <c r="I294" s="651"/>
      <c r="J294" s="651"/>
      <c r="K294" s="651"/>
      <c r="L294" s="653" t="str">
        <f t="shared" si="176"/>
        <v>6159</v>
      </c>
      <c r="M294" s="654" t="str">
        <f t="shared" si="177"/>
        <v>SERVICE EXTERIEUR</v>
      </c>
      <c r="N294" s="655">
        <f>+IF(OR($Q294=Parametres!$G$2,$Q294=Parametres!$G$3),I294,C294)</f>
        <v>46763.5</v>
      </c>
      <c r="O294" s="655">
        <f>+IF(OR($Q294=Parametres!$G$2,$Q294=Parametres!$G$3),J294,D294)</f>
        <v>8436.09</v>
      </c>
      <c r="P294" s="655">
        <f>+IF(OR($Q294=Parametres!$G$2,$Q294=Parametres!$G$3),K294,E294)</f>
        <v>55199.59</v>
      </c>
      <c r="Q294" s="654" t="str">
        <f t="shared" si="178"/>
        <v>7-Dépenses</v>
      </c>
      <c r="R294" s="653" t="str">
        <f t="shared" si="179"/>
        <v>6159</v>
      </c>
      <c r="S294" s="654" t="str">
        <f t="shared" si="180"/>
        <v>_</v>
      </c>
      <c r="T294" s="656" t="str">
        <f>+VLOOKUP($L294,Data_Validation!$A:$D,1,0)</f>
        <v>6159</v>
      </c>
      <c r="U294" s="656" t="str">
        <f>+VLOOKUP($L294,Data_Validation!$A:$D,3,0)</f>
        <v>Véhicules neufs</v>
      </c>
      <c r="V294" s="656" t="str">
        <f>+VLOOKUP($L294,Data_Validation!$A:$D,4,0)</f>
        <v>Services extérieurs</v>
      </c>
      <c r="W294" s="656" t="str">
        <f>+VLOOKUP($L294,Data_Validation!$A:$E,5,0)</f>
        <v>$</v>
      </c>
      <c r="X294" s="656">
        <f>+VLOOKUP($L294,Data_Validation!$A:$F,6,0)</f>
        <v>0</v>
      </c>
    </row>
    <row r="295" spans="1:24" ht="15" customHeight="1">
      <c r="A295" s="1218" t="s">
        <v>1211</v>
      </c>
      <c r="B295" s="1218" t="s">
        <v>1212</v>
      </c>
      <c r="C295" s="1220">
        <v>81884.160000000003</v>
      </c>
      <c r="D295" s="1220">
        <v>13647.36</v>
      </c>
      <c r="E295" s="1220">
        <v>95531.520000000004</v>
      </c>
      <c r="F295" s="1218" t="s">
        <v>1154</v>
      </c>
      <c r="G295" s="1218" t="s">
        <v>1212</v>
      </c>
      <c r="H295" s="1218" t="s">
        <v>3950</v>
      </c>
      <c r="I295" s="663"/>
      <c r="J295" s="663"/>
      <c r="K295" s="663"/>
      <c r="L295" s="653" t="str">
        <f t="shared" si="176"/>
        <v>6161</v>
      </c>
      <c r="M295" s="654" t="str">
        <f t="shared" si="177"/>
        <v>DEPRECIATION EQUIP. &amp; FIXTURES</v>
      </c>
      <c r="N295" s="655">
        <f>+IF(OR($Q295=Parametres!$G$2,$Q295=Parametres!$G$3),I295,C295)</f>
        <v>81884.160000000003</v>
      </c>
      <c r="O295" s="655">
        <f>+IF(OR($Q295=Parametres!$G$2,$Q295=Parametres!$G$3),J295,D295)</f>
        <v>13647.36</v>
      </c>
      <c r="P295" s="655">
        <f>+IF(OR($Q295=Parametres!$G$2,$Q295=Parametres!$G$3),K295,E295)</f>
        <v>95531.520000000004</v>
      </c>
      <c r="Q295" s="654" t="str">
        <f t="shared" si="178"/>
        <v>7-Dépenses</v>
      </c>
      <c r="R295" s="653" t="str">
        <f t="shared" si="179"/>
        <v>6161</v>
      </c>
      <c r="S295" s="654" t="str">
        <f t="shared" si="180"/>
        <v>_</v>
      </c>
      <c r="T295" s="656" t="str">
        <f>+VLOOKUP($L295,Data_Validation!$A:$D,1,0)</f>
        <v>6161</v>
      </c>
      <c r="U295" s="656" t="str">
        <f>+VLOOKUP($L295,Data_Validation!$A:$D,3,0)</f>
        <v>Véhicules neufs</v>
      </c>
      <c r="V295" s="656" t="str">
        <f>+VLOOKUP($L295,Data_Validation!$A:$D,4,0)</f>
        <v>Amortissement</v>
      </c>
      <c r="W295" s="656" t="str">
        <f>+VLOOKUP($L295,Data_Validation!$A:$E,5,0)</f>
        <v>$</v>
      </c>
      <c r="X295" s="656">
        <f>+VLOOKUP($L295,Data_Validation!$A:$F,6,0)</f>
        <v>0</v>
      </c>
    </row>
    <row r="296" spans="1:24" ht="15" customHeight="1">
      <c r="A296" s="1218" t="s">
        <v>1213</v>
      </c>
      <c r="B296" s="1218" t="s">
        <v>1214</v>
      </c>
      <c r="C296" s="1220">
        <v>13642</v>
      </c>
      <c r="D296" s="1220">
        <v>1574.85</v>
      </c>
      <c r="E296" s="1220">
        <v>15216.85</v>
      </c>
      <c r="F296" s="1218" t="s">
        <v>1154</v>
      </c>
      <c r="G296" s="1218" t="s">
        <v>1214</v>
      </c>
      <c r="H296" s="1218" t="s">
        <v>3950</v>
      </c>
      <c r="I296" s="652"/>
      <c r="J296" s="652"/>
      <c r="K296" s="652"/>
      <c r="L296" s="653" t="str">
        <f t="shared" si="176"/>
        <v>6181</v>
      </c>
      <c r="M296" s="654" t="str">
        <f t="shared" si="177"/>
        <v>ELECTRICITE CHAUFFAGE</v>
      </c>
      <c r="N296" s="655">
        <f>+IF(OR($Q296=Parametres!$G$2,$Q296=Parametres!$G$3),I296,C296)</f>
        <v>13642</v>
      </c>
      <c r="O296" s="655">
        <f>+IF(OR($Q296=Parametres!$G$2,$Q296=Parametres!$G$3),J296,D296)</f>
        <v>1574.85</v>
      </c>
      <c r="P296" s="655">
        <f>+IF(OR($Q296=Parametres!$G$2,$Q296=Parametres!$G$3),K296,E296)</f>
        <v>15216.85</v>
      </c>
      <c r="Q296" s="654" t="str">
        <f t="shared" si="178"/>
        <v>7-Dépenses</v>
      </c>
      <c r="R296" s="653" t="str">
        <f t="shared" si="179"/>
        <v>6181</v>
      </c>
      <c r="S296" s="654" t="str">
        <f t="shared" si="180"/>
        <v>_</v>
      </c>
      <c r="T296" s="656" t="str">
        <f>+VLOOKUP($L296,Data_Validation!$A:$D,1,0)</f>
        <v>6181</v>
      </c>
      <c r="U296" s="656" t="str">
        <f>+VLOOKUP($L296,Data_Validation!$A:$D,3,0)</f>
        <v>Véhicules neufs</v>
      </c>
      <c r="V296" s="656" t="str">
        <f>+VLOOKUP($L296,Data_Validation!$A:$D,4,0)</f>
        <v>Chauffage, éclairage</v>
      </c>
      <c r="W296" s="656" t="str">
        <f>+VLOOKUP($L296,Data_Validation!$A:$E,5,0)</f>
        <v>$</v>
      </c>
      <c r="X296" s="656">
        <f>+VLOOKUP($L296,Data_Validation!$A:$F,6,0)</f>
        <v>0</v>
      </c>
    </row>
    <row r="297" spans="1:24" ht="15.75" customHeight="1">
      <c r="A297" s="1218" t="s">
        <v>1215</v>
      </c>
      <c r="B297" s="1218" t="s">
        <v>1216</v>
      </c>
      <c r="C297" s="1220">
        <v>69120</v>
      </c>
      <c r="D297" s="1220">
        <v>11520</v>
      </c>
      <c r="E297" s="1220">
        <v>80640</v>
      </c>
      <c r="F297" s="1218" t="s">
        <v>1154</v>
      </c>
      <c r="G297" s="1218" t="s">
        <v>1216</v>
      </c>
      <c r="H297" s="1218" t="s">
        <v>3950</v>
      </c>
      <c r="I297" s="663"/>
      <c r="J297" s="663"/>
      <c r="K297" s="663"/>
      <c r="L297" s="653" t="str">
        <f t="shared" si="176"/>
        <v>6182</v>
      </c>
      <c r="M297" s="654" t="str">
        <f t="shared" si="177"/>
        <v>LOYER NEUFS</v>
      </c>
      <c r="N297" s="655">
        <f>+IF(OR($Q297=Parametres!$G$2,$Q297=Parametres!$G$3),I297,C297)</f>
        <v>69120</v>
      </c>
      <c r="O297" s="655">
        <f>+IF(OR($Q297=Parametres!$G$2,$Q297=Parametres!$G$3),J297,D297)</f>
        <v>11520</v>
      </c>
      <c r="P297" s="655">
        <f>+IF(OR($Q297=Parametres!$G$2,$Q297=Parametres!$G$3),K297,E297)</f>
        <v>80640</v>
      </c>
      <c r="Q297" s="654" t="str">
        <f t="shared" si="178"/>
        <v>7-Dépenses</v>
      </c>
      <c r="R297" s="653" t="str">
        <f t="shared" si="179"/>
        <v>6182</v>
      </c>
      <c r="S297" s="654" t="str">
        <f t="shared" si="180"/>
        <v>_</v>
      </c>
      <c r="T297" s="656" t="str">
        <f>+VLOOKUP($L297,Data_Validation!$A:$D,1,0)</f>
        <v>6182</v>
      </c>
      <c r="U297" s="656" t="str">
        <f>+VLOOKUP($L297,Data_Validation!$A:$D,3,0)</f>
        <v>Véhicules neufs</v>
      </c>
      <c r="V297" s="656" t="str">
        <f>+VLOOKUP($L297,Data_Validation!$A:$D,4,0)</f>
        <v>Loyer</v>
      </c>
      <c r="W297" s="656" t="str">
        <f>+VLOOKUP($L297,Data_Validation!$A:$E,5,0)</f>
        <v>$</v>
      </c>
      <c r="X297" s="656">
        <f>+VLOOKUP($L297,Data_Validation!$A:$F,6,0)</f>
        <v>0</v>
      </c>
    </row>
    <row r="298" spans="1:24" ht="15" customHeight="1">
      <c r="A298" s="1218" t="s">
        <v>1217</v>
      </c>
      <c r="B298" s="1218" t="s">
        <v>1218</v>
      </c>
      <c r="C298" s="1220">
        <v>8340.9599999999991</v>
      </c>
      <c r="D298" s="1220">
        <v>1390.16</v>
      </c>
      <c r="E298" s="1220">
        <v>9731.1200000000008</v>
      </c>
      <c r="F298" s="1218" t="s">
        <v>1154</v>
      </c>
      <c r="G298" s="1218" t="s">
        <v>1218</v>
      </c>
      <c r="H298" s="1218" t="s">
        <v>3950</v>
      </c>
      <c r="I298" s="651"/>
      <c r="J298" s="651"/>
      <c r="K298" s="651"/>
      <c r="L298" s="653" t="str">
        <f t="shared" si="176"/>
        <v>6186</v>
      </c>
      <c r="M298" s="654" t="str">
        <f t="shared" si="177"/>
        <v>ASSURANCE BATIMENT</v>
      </c>
      <c r="N298" s="655">
        <f>+IF(OR($Q298=Parametres!$G$2,$Q298=Parametres!$G$3),I298,C298)</f>
        <v>8340.9599999999991</v>
      </c>
      <c r="O298" s="655">
        <f>+IF(OR($Q298=Parametres!$G$2,$Q298=Parametres!$G$3),J298,D298)</f>
        <v>1390.16</v>
      </c>
      <c r="P298" s="655">
        <f>+IF(OR($Q298=Parametres!$G$2,$Q298=Parametres!$G$3),K298,E298)</f>
        <v>9731.1200000000008</v>
      </c>
      <c r="Q298" s="654" t="str">
        <f t="shared" si="178"/>
        <v>7-Dépenses</v>
      </c>
      <c r="R298" s="653" t="str">
        <f t="shared" si="179"/>
        <v>6186</v>
      </c>
      <c r="S298" s="654" t="str">
        <f t="shared" si="180"/>
        <v>_</v>
      </c>
      <c r="T298" s="656" t="str">
        <f>+VLOOKUP($L298,Data_Validation!$A:$D,1,0)</f>
        <v>6186</v>
      </c>
      <c r="U298" s="656" t="str">
        <f>+VLOOKUP($L298,Data_Validation!$A:$D,3,0)</f>
        <v>Véhicules neufs</v>
      </c>
      <c r="V298" s="656" t="str">
        <f>+VLOOKUP($L298,Data_Validation!$A:$D,4,0)</f>
        <v>Assurances</v>
      </c>
      <c r="W298" s="656" t="str">
        <f>+VLOOKUP($L298,Data_Validation!$A:$E,5,0)</f>
        <v>$</v>
      </c>
      <c r="X298" s="656">
        <f>+VLOOKUP($L298,Data_Validation!$A:$F,6,0)</f>
        <v>0</v>
      </c>
    </row>
    <row r="299" spans="1:24" ht="15" customHeight="1">
      <c r="A299" s="1218" t="s">
        <v>1219</v>
      </c>
      <c r="B299" s="1218" t="s">
        <v>1220</v>
      </c>
      <c r="C299" s="1220">
        <v>10412.16</v>
      </c>
      <c r="D299" s="1220">
        <v>1735.36</v>
      </c>
      <c r="E299" s="1220">
        <v>12147.52</v>
      </c>
      <c r="F299" s="1218" t="s">
        <v>1154</v>
      </c>
      <c r="G299" s="1218" t="s">
        <v>1220</v>
      </c>
      <c r="H299" s="1218" t="s">
        <v>3950</v>
      </c>
      <c r="I299" s="651"/>
      <c r="J299" s="651"/>
      <c r="K299" s="651"/>
      <c r="L299" s="653" t="str">
        <f t="shared" si="176"/>
        <v>6187</v>
      </c>
      <c r="M299" s="654" t="str">
        <f t="shared" si="177"/>
        <v>TAXE SUR PROPRIETE</v>
      </c>
      <c r="N299" s="655">
        <f>+IF(OR($Q299=Parametres!$G$2,$Q299=Parametres!$G$3),I299,C299)</f>
        <v>10412.16</v>
      </c>
      <c r="O299" s="655">
        <f>+IF(OR($Q299=Parametres!$G$2,$Q299=Parametres!$G$3),J299,D299)</f>
        <v>1735.36</v>
      </c>
      <c r="P299" s="655">
        <f>+IF(OR($Q299=Parametres!$G$2,$Q299=Parametres!$G$3),K299,E299)</f>
        <v>12147.52</v>
      </c>
      <c r="Q299" s="654" t="str">
        <f t="shared" si="178"/>
        <v>7-Dépenses</v>
      </c>
      <c r="R299" s="653" t="str">
        <f t="shared" si="179"/>
        <v>6187</v>
      </c>
      <c r="S299" s="654" t="str">
        <f t="shared" si="180"/>
        <v>_</v>
      </c>
      <c r="T299" s="656" t="str">
        <f>+VLOOKUP($L299,Data_Validation!$A:$D,1,0)</f>
        <v>6187</v>
      </c>
      <c r="U299" s="656" t="str">
        <f>+VLOOKUP($L299,Data_Validation!$A:$D,3,0)</f>
        <v>Véhicules neufs</v>
      </c>
      <c r="V299" s="656" t="str">
        <f>+VLOOKUP($L299,Data_Validation!$A:$D,4,0)</f>
        <v>Taxes foncières</v>
      </c>
      <c r="W299" s="656" t="str">
        <f>+VLOOKUP($L299,Data_Validation!$A:$E,5,0)</f>
        <v>$</v>
      </c>
      <c r="X299" s="656">
        <f>+VLOOKUP($L299,Data_Validation!$A:$F,6,0)</f>
        <v>0</v>
      </c>
    </row>
    <row r="300" spans="1:24" ht="15" customHeight="1">
      <c r="A300" s="1218" t="s">
        <v>1221</v>
      </c>
      <c r="B300" s="1218" t="s">
        <v>1222</v>
      </c>
      <c r="C300" s="1220">
        <v>7761.28</v>
      </c>
      <c r="D300" s="1220">
        <v>1154.8800000000001</v>
      </c>
      <c r="E300" s="1220">
        <v>8916.16</v>
      </c>
      <c r="F300" s="1218" t="s">
        <v>1154</v>
      </c>
      <c r="G300" s="1218" t="s">
        <v>1222</v>
      </c>
      <c r="H300" s="1218" t="s">
        <v>3950</v>
      </c>
      <c r="I300" s="651"/>
      <c r="J300" s="651"/>
      <c r="K300" s="670"/>
      <c r="L300" s="653" t="str">
        <f t="shared" si="176"/>
        <v>6193</v>
      </c>
      <c r="M300" s="654" t="str">
        <f t="shared" si="177"/>
        <v>TAXES AUTRES PERMIS LICENCE</v>
      </c>
      <c r="N300" s="655">
        <f>+IF(OR($Q300=Parametres!$G$2,$Q300=Parametres!$G$3),I300,C300)</f>
        <v>7761.28</v>
      </c>
      <c r="O300" s="655">
        <f>+IF(OR($Q300=Parametres!$G$2,$Q300=Parametres!$G$3),J300,D300)</f>
        <v>1154.8800000000001</v>
      </c>
      <c r="P300" s="655">
        <f>+IF(OR($Q300=Parametres!$G$2,$Q300=Parametres!$G$3),K300,E300)</f>
        <v>8916.16</v>
      </c>
      <c r="Q300" s="654" t="str">
        <f t="shared" si="178"/>
        <v>7-Dépenses</v>
      </c>
      <c r="R300" s="653" t="str">
        <f t="shared" si="179"/>
        <v>6193</v>
      </c>
      <c r="S300" s="654" t="str">
        <f t="shared" si="180"/>
        <v>_</v>
      </c>
      <c r="T300" s="656" t="str">
        <f>+VLOOKUP($L300,Data_Validation!$A:$D,1,0)</f>
        <v>6193</v>
      </c>
      <c r="U300" s="656" t="str">
        <f>+VLOOKUP($L300,Data_Validation!$A:$D,3,0)</f>
        <v>Véhicules neufs</v>
      </c>
      <c r="V300" s="656" t="str">
        <f>+VLOOKUP($L300,Data_Validation!$A:$D,4,0)</f>
        <v>Taxes d`affaires</v>
      </c>
      <c r="W300" s="656" t="str">
        <f>+VLOOKUP($L300,Data_Validation!$A:$E,5,0)</f>
        <v>$</v>
      </c>
      <c r="X300" s="656">
        <f>+VLOOKUP($L300,Data_Validation!$A:$F,6,0)</f>
        <v>0</v>
      </c>
    </row>
    <row r="301" spans="1:24" ht="15.75" customHeight="1">
      <c r="A301" s="1218" t="s">
        <v>1223</v>
      </c>
      <c r="B301" s="1218" t="s">
        <v>1224</v>
      </c>
      <c r="C301" s="1220">
        <v>14264.69</v>
      </c>
      <c r="D301" s="1220">
        <v>3434.65</v>
      </c>
      <c r="E301" s="1220">
        <v>17699.34</v>
      </c>
      <c r="F301" s="1218" t="s">
        <v>1154</v>
      </c>
      <c r="G301" s="1218" t="s">
        <v>1224</v>
      </c>
      <c r="H301" s="1218" t="s">
        <v>3950</v>
      </c>
      <c r="I301" s="652"/>
      <c r="J301" s="652"/>
      <c r="K301" s="652"/>
      <c r="L301" s="653" t="str">
        <f t="shared" si="176"/>
        <v>6194</v>
      </c>
      <c r="M301" s="654" t="str">
        <f t="shared" si="177"/>
        <v>HONORAIRES PROFESSIONNELS</v>
      </c>
      <c r="N301" s="655">
        <f>+IF(OR($Q301=Parametres!$G$2,$Q301=Parametres!$G$3),I301,C301)</f>
        <v>14264.69</v>
      </c>
      <c r="O301" s="655">
        <f>+IF(OR($Q301=Parametres!$G$2,$Q301=Parametres!$G$3),J301,D301)</f>
        <v>3434.65</v>
      </c>
      <c r="P301" s="655">
        <f>+IF(OR($Q301=Parametres!$G$2,$Q301=Parametres!$G$3),K301,E301)</f>
        <v>17699.34</v>
      </c>
      <c r="Q301" s="654" t="str">
        <f t="shared" si="178"/>
        <v>7-Dépenses</v>
      </c>
      <c r="R301" s="653" t="str">
        <f t="shared" si="179"/>
        <v>6194</v>
      </c>
      <c r="S301" s="654" t="str">
        <f t="shared" si="180"/>
        <v>_</v>
      </c>
      <c r="T301" s="656" t="str">
        <f>+VLOOKUP($L301,Data_Validation!$A:$D,1,0)</f>
        <v>6194</v>
      </c>
      <c r="U301" s="656" t="str">
        <f>+VLOOKUP($L301,Data_Validation!$A:$D,3,0)</f>
        <v>Véhicules neufs</v>
      </c>
      <c r="V301" s="656" t="str">
        <f>+VLOOKUP($L301,Data_Validation!$A:$D,4,0)</f>
        <v>Honoraires</v>
      </c>
      <c r="W301" s="656" t="str">
        <f>+VLOOKUP($L301,Data_Validation!$A:$E,5,0)</f>
        <v>$</v>
      </c>
      <c r="X301" s="656">
        <f>+VLOOKUP($L301,Data_Validation!$A:$F,6,0)</f>
        <v>0</v>
      </c>
    </row>
    <row r="302" spans="1:24" ht="15" customHeight="1">
      <c r="A302" s="1218" t="s">
        <v>1225</v>
      </c>
      <c r="B302" s="1218" t="s">
        <v>2319</v>
      </c>
      <c r="C302" s="1220">
        <v>80139.09</v>
      </c>
      <c r="D302" s="1220">
        <v>12008.3</v>
      </c>
      <c r="E302" s="1220">
        <v>92147.39</v>
      </c>
      <c r="F302" s="1218" t="s">
        <v>1154</v>
      </c>
      <c r="G302" s="1218" t="s">
        <v>1155</v>
      </c>
      <c r="H302" s="1218" t="s">
        <v>3950</v>
      </c>
      <c r="I302" s="663"/>
      <c r="J302" s="663"/>
      <c r="K302" s="663"/>
      <c r="L302" s="653" t="str">
        <f t="shared" si="176"/>
        <v>6201</v>
      </c>
      <c r="M302" s="654" t="str">
        <f t="shared" si="177"/>
        <v>COMMISSION USAGES</v>
      </c>
      <c r="N302" s="655">
        <f>+IF(OR($Q302=Parametres!$G$2,$Q302=Parametres!$G$3),I302,C302)</f>
        <v>80139.09</v>
      </c>
      <c r="O302" s="655">
        <f>+IF(OR($Q302=Parametres!$G$2,$Q302=Parametres!$G$3),J302,D302)</f>
        <v>12008.3</v>
      </c>
      <c r="P302" s="655">
        <f>+IF(OR($Q302=Parametres!$G$2,$Q302=Parametres!$G$3),K302,E302)</f>
        <v>92147.39</v>
      </c>
      <c r="Q302" s="654" t="str">
        <f t="shared" si="178"/>
        <v>7-Dépenses</v>
      </c>
      <c r="R302" s="653" t="str">
        <f t="shared" si="179"/>
        <v>6101</v>
      </c>
      <c r="S302" s="654" t="str">
        <f t="shared" si="180"/>
        <v>_</v>
      </c>
      <c r="T302" s="656" t="str">
        <f>+VLOOKUP($L302,Data_Validation!$A:$D,1,0)</f>
        <v>6201</v>
      </c>
      <c r="U302" s="656" t="str">
        <f>+VLOOKUP($L302,Data_Validation!$A:$D,3,0)</f>
        <v>Véhicules usagés</v>
      </c>
      <c r="V302" s="656" t="str">
        <f>+VLOOKUP($L302,Data_Validation!$A:$D,4,0)</f>
        <v>Comm. vendeurs</v>
      </c>
      <c r="W302" s="656" t="str">
        <f>+VLOOKUP($L302,Data_Validation!$A:$E,5,0)</f>
        <v>$</v>
      </c>
      <c r="X302" s="656">
        <f>+VLOOKUP($L302,Data_Validation!$A:$F,6,0)</f>
        <v>0</v>
      </c>
    </row>
    <row r="303" spans="1:24" ht="15" customHeight="1">
      <c r="A303" s="1218" t="s">
        <v>1156</v>
      </c>
      <c r="B303" s="1218" t="s">
        <v>2322</v>
      </c>
      <c r="C303" s="1220">
        <v>89458.6</v>
      </c>
      <c r="D303" s="1220">
        <v>20164.34</v>
      </c>
      <c r="E303" s="1220">
        <v>109622.94</v>
      </c>
      <c r="F303" s="1218" t="s">
        <v>1154</v>
      </c>
      <c r="G303" s="1218" t="s">
        <v>1157</v>
      </c>
      <c r="H303" s="1218" t="s">
        <v>3950</v>
      </c>
      <c r="I303" s="652"/>
      <c r="J303" s="652"/>
      <c r="K303" s="652"/>
      <c r="L303" s="653" t="str">
        <f t="shared" si="176"/>
        <v>6202</v>
      </c>
      <c r="M303" s="654" t="str">
        <f t="shared" si="177"/>
        <v>RENUMERATION F &amp; I</v>
      </c>
      <c r="N303" s="655">
        <f>+IF(OR($Q303=Parametres!$G$2,$Q303=Parametres!$G$3),I303,C303)</f>
        <v>89458.6</v>
      </c>
      <c r="O303" s="655">
        <f>+IF(OR($Q303=Parametres!$G$2,$Q303=Parametres!$G$3),J303,D303)</f>
        <v>20164.34</v>
      </c>
      <c r="P303" s="655">
        <f>+IF(OR($Q303=Parametres!$G$2,$Q303=Parametres!$G$3),K303,E303)</f>
        <v>109622.94</v>
      </c>
      <c r="Q303" s="654" t="str">
        <f t="shared" si="178"/>
        <v>7-Dépenses</v>
      </c>
      <c r="R303" s="653" t="str">
        <f t="shared" si="179"/>
        <v>6102</v>
      </c>
      <c r="S303" s="654" t="str">
        <f t="shared" si="180"/>
        <v>_</v>
      </c>
      <c r="T303" s="656" t="str">
        <f>+VLOOKUP($L303,Data_Validation!$A:$D,1,0)</f>
        <v>6202</v>
      </c>
      <c r="U303" s="656" t="str">
        <f>+VLOOKUP($L303,Data_Validation!$A:$D,3,0)</f>
        <v>Véhicules usagés</v>
      </c>
      <c r="V303" s="656" t="str">
        <f>+VLOOKUP($L303,Data_Validation!$A:$D,4,0)</f>
        <v>Comm. F&amp;I</v>
      </c>
      <c r="W303" s="656" t="str">
        <f>+VLOOKUP($L303,Data_Validation!$A:$E,5,0)</f>
        <v>$</v>
      </c>
      <c r="X303" s="656">
        <f>+VLOOKUP($L303,Data_Validation!$A:$F,6,0)</f>
        <v>0</v>
      </c>
    </row>
    <row r="304" spans="1:24" ht="15" customHeight="1">
      <c r="A304" s="1218" t="s">
        <v>1226</v>
      </c>
      <c r="B304" s="1218" t="s">
        <v>2325</v>
      </c>
      <c r="C304" s="1220">
        <v>8424.67</v>
      </c>
      <c r="D304" s="1220">
        <v>4983.57</v>
      </c>
      <c r="E304" s="1220">
        <v>13408.24</v>
      </c>
      <c r="F304" s="1218" t="s">
        <v>1154</v>
      </c>
      <c r="G304" s="1218" t="s">
        <v>1159</v>
      </c>
      <c r="H304" s="1218" t="s">
        <v>3950</v>
      </c>
      <c r="I304" s="652"/>
      <c r="J304" s="652"/>
      <c r="K304" s="652"/>
      <c r="L304" s="653" t="str">
        <f t="shared" si="176"/>
        <v>6203</v>
      </c>
      <c r="M304" s="654" t="str">
        <f t="shared" si="177"/>
        <v>RELAT. A LA CLIENTELLE &amp; AJUST</v>
      </c>
      <c r="N304" s="655">
        <f>+IF(OR($Q304=Parametres!$G$2,$Q304=Parametres!$G$3),I304,C304)</f>
        <v>8424.67</v>
      </c>
      <c r="O304" s="655">
        <f>+IF(OR($Q304=Parametres!$G$2,$Q304=Parametres!$G$3),J304,D304)</f>
        <v>4983.57</v>
      </c>
      <c r="P304" s="655">
        <f>+IF(OR($Q304=Parametres!$G$2,$Q304=Parametres!$G$3),K304,E304)</f>
        <v>13408.24</v>
      </c>
      <c r="Q304" s="654" t="str">
        <f t="shared" si="178"/>
        <v>7-Dépenses</v>
      </c>
      <c r="R304" s="653" t="str">
        <f t="shared" si="179"/>
        <v>6103</v>
      </c>
      <c r="S304" s="654" t="str">
        <f t="shared" si="180"/>
        <v>_</v>
      </c>
      <c r="T304" s="656" t="str">
        <f>+VLOOKUP($L304,Data_Validation!$A:$D,1,0)</f>
        <v>6203</v>
      </c>
      <c r="U304" s="656" t="str">
        <f>+VLOOKUP($L304,Data_Validation!$A:$D,3,0)</f>
        <v>Véhicules usagés</v>
      </c>
      <c r="V304" s="656" t="str">
        <f>+VLOOKUP($L304,Data_Validation!$A:$D,4,0)</f>
        <v>Service gratuit 1</v>
      </c>
      <c r="W304" s="656" t="str">
        <f>+VLOOKUP($L304,Data_Validation!$A:$E,5,0)</f>
        <v>$</v>
      </c>
      <c r="X304" s="656">
        <f>+VLOOKUP($L304,Data_Validation!$A:$F,6,0)</f>
        <v>0</v>
      </c>
    </row>
    <row r="305" spans="1:24" ht="15.75" customHeight="1">
      <c r="A305" s="1218" t="s">
        <v>1160</v>
      </c>
      <c r="B305" s="1218" t="s">
        <v>2328</v>
      </c>
      <c r="C305" s="1220">
        <v>29216.57</v>
      </c>
      <c r="D305" s="1220">
        <v>3765.58</v>
      </c>
      <c r="E305" s="1220">
        <v>32982.15</v>
      </c>
      <c r="F305" s="1218" t="s">
        <v>1154</v>
      </c>
      <c r="G305" s="1218" t="s">
        <v>1161</v>
      </c>
      <c r="H305" s="1218" t="s">
        <v>3950</v>
      </c>
      <c r="I305" s="663"/>
      <c r="J305" s="663"/>
      <c r="K305" s="663"/>
      <c r="L305" s="653" t="str">
        <f t="shared" si="176"/>
        <v>6206</v>
      </c>
      <c r="M305" s="654" t="str">
        <f t="shared" si="177"/>
        <v>ENTRETIEN DES STOCKS</v>
      </c>
      <c r="N305" s="655">
        <f>+IF(OR($Q305=Parametres!$G$2,$Q305=Parametres!$G$3),I305,C305)</f>
        <v>29216.57</v>
      </c>
      <c r="O305" s="655">
        <f>+IF(OR($Q305=Parametres!$G$2,$Q305=Parametres!$G$3),J305,D305)</f>
        <v>3765.58</v>
      </c>
      <c r="P305" s="655">
        <f>+IF(OR($Q305=Parametres!$G$2,$Q305=Parametres!$G$3),K305,E305)</f>
        <v>32982.15</v>
      </c>
      <c r="Q305" s="654" t="str">
        <f t="shared" si="178"/>
        <v>7-Dépenses</v>
      </c>
      <c r="R305" s="653" t="str">
        <f t="shared" si="179"/>
        <v>6106</v>
      </c>
      <c r="S305" s="654" t="str">
        <f t="shared" si="180"/>
        <v>_</v>
      </c>
      <c r="T305" s="656" t="str">
        <f>+VLOOKUP($L305,Data_Validation!$A:$D,1,0)</f>
        <v>6206</v>
      </c>
      <c r="U305" s="656" t="str">
        <f>+VLOOKUP($L305,Data_Validation!$A:$D,3,0)</f>
        <v>Véhicules usagés</v>
      </c>
      <c r="V305" s="656" t="str">
        <f>+VLOOKUP($L305,Data_Validation!$A:$D,4,0)</f>
        <v>Entretien stock</v>
      </c>
      <c r="W305" s="656" t="str">
        <f>+VLOOKUP($L305,Data_Validation!$A:$E,5,0)</f>
        <v>$</v>
      </c>
      <c r="X305" s="656">
        <f>+VLOOKUP($L305,Data_Validation!$A:$F,6,0)</f>
        <v>0</v>
      </c>
    </row>
    <row r="306" spans="1:24" ht="15" customHeight="1">
      <c r="A306" s="1218" t="s">
        <v>1162</v>
      </c>
      <c r="B306" s="1218" t="s">
        <v>2331</v>
      </c>
      <c r="C306" s="1220">
        <v>18817.7</v>
      </c>
      <c r="D306" s="1220">
        <v>4064.38</v>
      </c>
      <c r="E306" s="1220">
        <v>22882.080000000002</v>
      </c>
      <c r="F306" s="1218" t="s">
        <v>1154</v>
      </c>
      <c r="G306" s="1218" t="s">
        <v>1163</v>
      </c>
      <c r="H306" s="1218" t="s">
        <v>3950</v>
      </c>
      <c r="I306" s="670"/>
      <c r="J306" s="651"/>
      <c r="K306" s="670"/>
      <c r="L306" s="653" t="str">
        <f t="shared" si="176"/>
        <v>6207</v>
      </c>
      <c r="M306" s="654" t="str">
        <f t="shared" si="177"/>
        <v>INTERET-PLAN DE FINANCEMENT</v>
      </c>
      <c r="N306" s="655">
        <f>+IF(OR($Q306=Parametres!$G$2,$Q306=Parametres!$G$3),I306,C306)</f>
        <v>18817.7</v>
      </c>
      <c r="O306" s="659">
        <f>+IF(OR($Q306=Parametres!$G$2,$Q306=Parametres!$G$3),J306,D306)</f>
        <v>4064.38</v>
      </c>
      <c r="P306" s="655">
        <f>+IF(OR($Q306=Parametres!$G$2,$Q306=Parametres!$G$3),K306,E306)</f>
        <v>22882.080000000002</v>
      </c>
      <c r="Q306" s="654" t="str">
        <f t="shared" si="178"/>
        <v>7-Dépenses</v>
      </c>
      <c r="R306" s="653" t="str">
        <f t="shared" si="179"/>
        <v>6107</v>
      </c>
      <c r="S306" s="654" t="str">
        <f t="shared" si="180"/>
        <v>_</v>
      </c>
      <c r="T306" s="656" t="str">
        <f>+VLOOKUP($L306,Data_Validation!$A:$D,1,0)</f>
        <v>6207</v>
      </c>
      <c r="U306" s="656" t="str">
        <f>+VLOOKUP($L306,Data_Validation!$A:$D,3,0)</f>
        <v>Véhicules usagés</v>
      </c>
      <c r="V306" s="656" t="str">
        <f>+VLOOKUP($L306,Data_Validation!$A:$D,4,0)</f>
        <v>Intérêt de gros</v>
      </c>
      <c r="W306" s="656" t="str">
        <f>+VLOOKUP($L306,Data_Validation!$A:$E,5,0)</f>
        <v>$</v>
      </c>
      <c r="X306" s="656">
        <f>+VLOOKUP($L306,Data_Validation!$A:$F,6,0)</f>
        <v>0</v>
      </c>
    </row>
    <row r="307" spans="1:24" ht="15" customHeight="1">
      <c r="A307" s="1218" t="s">
        <v>1164</v>
      </c>
      <c r="B307" s="1218" t="s">
        <v>2334</v>
      </c>
      <c r="C307" s="1220">
        <v>-8906.0400000000009</v>
      </c>
      <c r="D307" s="1220">
        <v>-1754.51</v>
      </c>
      <c r="E307" s="1220">
        <v>-10660.55</v>
      </c>
      <c r="F307" s="1218" t="s">
        <v>1154</v>
      </c>
      <c r="G307" s="1218" t="s">
        <v>1165</v>
      </c>
      <c r="H307" s="1218" t="s">
        <v>3950</v>
      </c>
      <c r="I307" s="651"/>
      <c r="J307" s="651"/>
      <c r="K307" s="651"/>
      <c r="L307" s="653" t="str">
        <f t="shared" si="176"/>
        <v>6208</v>
      </c>
      <c r="M307" s="654" t="str">
        <f t="shared" si="177"/>
        <v>FRAIS DE LIVRAISON</v>
      </c>
      <c r="N307" s="655">
        <f>+IF(OR($Q307=Parametres!$G$2,$Q307=Parametres!$G$3),I307,C307)</f>
        <v>-8906.0400000000009</v>
      </c>
      <c r="O307" s="659">
        <f>+IF(OR($Q307=Parametres!$G$2,$Q307=Parametres!$G$3),J307,D307)</f>
        <v>-1754.51</v>
      </c>
      <c r="P307" s="655">
        <f>+IF(OR($Q307=Parametres!$G$2,$Q307=Parametres!$G$3),K307,E307)</f>
        <v>-10660.55</v>
      </c>
      <c r="Q307" s="654" t="str">
        <f t="shared" si="178"/>
        <v>7-Dépenses</v>
      </c>
      <c r="R307" s="653" t="str">
        <f t="shared" si="179"/>
        <v>6108</v>
      </c>
      <c r="S307" s="654" t="str">
        <f t="shared" si="180"/>
        <v>_</v>
      </c>
      <c r="T307" s="656" t="str">
        <f>+VLOOKUP($L307,Data_Validation!$A:$D,1,0)</f>
        <v>6208</v>
      </c>
      <c r="U307" s="656" t="str">
        <f>+VLOOKUP($L307,Data_Validation!$A:$D,3,0)</f>
        <v>Véhicules usagés</v>
      </c>
      <c r="V307" s="656" t="str">
        <f>+VLOOKUP($L307,Data_Validation!$A:$D,4,0)</f>
        <v>Frais de livraison</v>
      </c>
      <c r="W307" s="656" t="str">
        <f>+VLOOKUP($L307,Data_Validation!$A:$E,5,0)</f>
        <v>$</v>
      </c>
      <c r="X307" s="656">
        <f>+VLOOKUP($L307,Data_Validation!$A:$F,6,0)</f>
        <v>0</v>
      </c>
    </row>
    <row r="308" spans="1:24" ht="15" customHeight="1">
      <c r="A308" s="1218" t="s">
        <v>1166</v>
      </c>
      <c r="B308" s="1218" t="s">
        <v>2340</v>
      </c>
      <c r="C308" s="1220">
        <v>77977.320000000007</v>
      </c>
      <c r="D308" s="1220">
        <v>11991.53</v>
      </c>
      <c r="E308" s="1220">
        <v>89968.85</v>
      </c>
      <c r="F308" s="1218" t="s">
        <v>1154</v>
      </c>
      <c r="G308" s="1218" t="s">
        <v>1167</v>
      </c>
      <c r="H308" s="1218" t="s">
        <v>3950</v>
      </c>
      <c r="I308" s="652"/>
      <c r="J308" s="652"/>
      <c r="K308" s="652"/>
      <c r="L308" s="653" t="str">
        <f t="shared" ref="L308:L371" si="181">TEXT(B308,0)</f>
        <v>6214</v>
      </c>
      <c r="M308" s="654" t="str">
        <f t="shared" ref="M308:M371" si="182">+A308</f>
        <v>PUBLICITE</v>
      </c>
      <c r="N308" s="655">
        <f>+IF(OR($Q308=Parametres!$G$2,$Q308=Parametres!$G$3),I308,C308)</f>
        <v>77977.320000000007</v>
      </c>
      <c r="O308" s="655">
        <f>+IF(OR($Q308=Parametres!$G$2,$Q308=Parametres!$G$3),J308,D308)</f>
        <v>11991.53</v>
      </c>
      <c r="P308" s="655">
        <f>+IF(OR($Q308=Parametres!$G$2,$Q308=Parametres!$G$3),K308,E308)</f>
        <v>89968.85</v>
      </c>
      <c r="Q308" s="654" t="str">
        <f t="shared" ref="Q308:Q371" si="183">+F308</f>
        <v>7-Dépenses</v>
      </c>
      <c r="R308" s="653" t="str">
        <f t="shared" ref="R308:R371" si="184">+G308</f>
        <v>6114</v>
      </c>
      <c r="S308" s="654" t="str">
        <f t="shared" ref="S308:S371" si="185">+H308</f>
        <v>_</v>
      </c>
      <c r="T308" s="656" t="str">
        <f>+VLOOKUP($L308,Data_Validation!$A:$D,1,0)</f>
        <v>6214</v>
      </c>
      <c r="U308" s="656" t="str">
        <f>+VLOOKUP($L308,Data_Validation!$A:$D,3,0)</f>
        <v>Véhicules usagés</v>
      </c>
      <c r="V308" s="656" t="str">
        <f>+VLOOKUP($L308,Data_Validation!$A:$D,4,0)</f>
        <v>Publicité 1</v>
      </c>
      <c r="W308" s="656" t="str">
        <f>+VLOOKUP($L308,Data_Validation!$A:$E,5,0)</f>
        <v>$</v>
      </c>
      <c r="X308" s="656">
        <f>+VLOOKUP($L308,Data_Validation!$A:$F,6,0)</f>
        <v>0</v>
      </c>
    </row>
    <row r="309" spans="1:24" ht="15.75" customHeight="1">
      <c r="A309" s="1218" t="s">
        <v>1227</v>
      </c>
      <c r="B309" s="1218" t="s">
        <v>2343</v>
      </c>
      <c r="C309" s="1220">
        <v>-16000</v>
      </c>
      <c r="D309" s="1220">
        <v>-2800</v>
      </c>
      <c r="E309" s="1220">
        <v>-18800</v>
      </c>
      <c r="F309" s="1218" t="s">
        <v>1154</v>
      </c>
      <c r="G309" s="1218" t="s">
        <v>1167</v>
      </c>
      <c r="H309" s="1218" t="s">
        <v>3950</v>
      </c>
      <c r="I309" s="663"/>
      <c r="J309" s="663"/>
      <c r="K309" s="663"/>
      <c r="L309" s="653" t="str">
        <f t="shared" si="181"/>
        <v>6215</v>
      </c>
      <c r="M309" s="654" t="str">
        <f t="shared" si="182"/>
        <v>CREDIT PUBLICITE USAGES</v>
      </c>
      <c r="N309" s="655">
        <f>+IF(OR($Q309=Parametres!$G$2,$Q309=Parametres!$G$3),I309,C309)</f>
        <v>-16000</v>
      </c>
      <c r="O309" s="655">
        <f>+IF(OR($Q309=Parametres!$G$2,$Q309=Parametres!$G$3),J309,D309)</f>
        <v>-2800</v>
      </c>
      <c r="P309" s="655">
        <f>+IF(OR($Q309=Parametres!$G$2,$Q309=Parametres!$G$3),K309,E309)</f>
        <v>-18800</v>
      </c>
      <c r="Q309" s="654" t="str">
        <f t="shared" si="183"/>
        <v>7-Dépenses</v>
      </c>
      <c r="R309" s="653" t="str">
        <f t="shared" si="184"/>
        <v>6114</v>
      </c>
      <c r="S309" s="654" t="str">
        <f t="shared" si="185"/>
        <v>_</v>
      </c>
      <c r="T309" s="656" t="str">
        <f>+VLOOKUP($L309,Data_Validation!$A:$D,1,0)</f>
        <v>6215</v>
      </c>
      <c r="U309" s="656" t="str">
        <f>+VLOOKUP($L309,Data_Validation!$A:$D,3,0)</f>
        <v>Véhicules usagés</v>
      </c>
      <c r="V309" s="656" t="str">
        <f>+VLOOKUP($L309,Data_Validation!$A:$D,4,0)</f>
        <v>Publicité 1</v>
      </c>
      <c r="W309" s="656" t="str">
        <f>+VLOOKUP($L309,Data_Validation!$A:$E,5,0)</f>
        <v>$</v>
      </c>
      <c r="X309" s="656">
        <f>+VLOOKUP($L309,Data_Validation!$A:$F,6,0)</f>
        <v>0</v>
      </c>
    </row>
    <row r="310" spans="1:24" ht="15" customHeight="1">
      <c r="A310" s="1218" t="s">
        <v>1169</v>
      </c>
      <c r="B310" s="1218" t="s">
        <v>2349</v>
      </c>
      <c r="C310" s="1220">
        <v>8987.19</v>
      </c>
      <c r="D310" s="1220">
        <v>1252.83</v>
      </c>
      <c r="E310" s="1220">
        <v>10240.02</v>
      </c>
      <c r="F310" s="1218" t="s">
        <v>1154</v>
      </c>
      <c r="G310" s="1218" t="s">
        <v>1170</v>
      </c>
      <c r="H310" s="1218" t="s">
        <v>3950</v>
      </c>
      <c r="I310" s="663"/>
      <c r="J310" s="663"/>
      <c r="K310" s="663"/>
      <c r="L310" s="653" t="str">
        <f t="shared" si="181"/>
        <v>6221</v>
      </c>
      <c r="M310" s="654" t="str">
        <f t="shared" si="182"/>
        <v>SALAIRES - PROPRIETAIRES</v>
      </c>
      <c r="N310" s="655">
        <f>+IF(OR($Q310=Parametres!$G$2,$Q310=Parametres!$G$3),I310,C310)</f>
        <v>8987.19</v>
      </c>
      <c r="O310" s="655">
        <f>+IF(OR($Q310=Parametres!$G$2,$Q310=Parametres!$G$3),J310,D310)</f>
        <v>1252.83</v>
      </c>
      <c r="P310" s="655">
        <f>+IF(OR($Q310=Parametres!$G$2,$Q310=Parametres!$G$3),K310,E310)</f>
        <v>10240.02</v>
      </c>
      <c r="Q310" s="654" t="str">
        <f t="shared" si="183"/>
        <v>7-Dépenses</v>
      </c>
      <c r="R310" s="653" t="str">
        <f t="shared" si="184"/>
        <v>6121</v>
      </c>
      <c r="S310" s="654" t="str">
        <f t="shared" si="185"/>
        <v>_</v>
      </c>
      <c r="T310" s="656" t="str">
        <f>+VLOOKUP($L310,Data_Validation!$A:$D,1,0)</f>
        <v>6221</v>
      </c>
      <c r="U310" s="656" t="str">
        <f>+VLOOKUP($L310,Data_Validation!$A:$D,3,0)</f>
        <v>Véhicules usagés</v>
      </c>
      <c r="V310" s="656" t="str">
        <f>+VLOOKUP($L310,Data_Validation!$A:$D,4,0)</f>
        <v>Salaires propriétaire</v>
      </c>
      <c r="W310" s="656" t="str">
        <f>+VLOOKUP($L310,Data_Validation!$A:$E,5,0)</f>
        <v>$</v>
      </c>
      <c r="X310" s="656">
        <f>+VLOOKUP($L310,Data_Validation!$A:$F,6,0)</f>
        <v>0</v>
      </c>
    </row>
    <row r="311" spans="1:24" ht="15" customHeight="1">
      <c r="A311" s="1218" t="s">
        <v>1171</v>
      </c>
      <c r="B311" s="1218" t="s">
        <v>2352</v>
      </c>
      <c r="C311" s="1220">
        <v>53210.01</v>
      </c>
      <c r="D311" s="1220">
        <v>12692.24</v>
      </c>
      <c r="E311" s="1220">
        <v>65902.25</v>
      </c>
      <c r="F311" s="1218" t="s">
        <v>1154</v>
      </c>
      <c r="G311" s="1218" t="s">
        <v>1172</v>
      </c>
      <c r="H311" s="1218" t="s">
        <v>3950</v>
      </c>
      <c r="I311" s="663"/>
      <c r="J311" s="663"/>
      <c r="K311" s="663"/>
      <c r="L311" s="653" t="str">
        <f t="shared" si="181"/>
        <v>6222</v>
      </c>
      <c r="M311" s="654" t="str">
        <f t="shared" si="182"/>
        <v>SAL SUPERVISION / GERANT</v>
      </c>
      <c r="N311" s="655">
        <f>+IF(OR($Q311=Parametres!$G$2,$Q311=Parametres!$G$3),I311,C311)</f>
        <v>53210.01</v>
      </c>
      <c r="O311" s="655">
        <f>+IF(OR($Q311=Parametres!$G$2,$Q311=Parametres!$G$3),J311,D311)</f>
        <v>12692.24</v>
      </c>
      <c r="P311" s="655">
        <f>+IF(OR($Q311=Parametres!$G$2,$Q311=Parametres!$G$3),K311,E311)</f>
        <v>65902.25</v>
      </c>
      <c r="Q311" s="654" t="str">
        <f t="shared" si="183"/>
        <v>7-Dépenses</v>
      </c>
      <c r="R311" s="653" t="str">
        <f t="shared" si="184"/>
        <v>6122</v>
      </c>
      <c r="S311" s="654" t="str">
        <f t="shared" si="185"/>
        <v>_</v>
      </c>
      <c r="T311" s="656" t="str">
        <f>+VLOOKUP($L311,Data_Validation!$A:$D,1,0)</f>
        <v>6222</v>
      </c>
      <c r="U311" s="656" t="str">
        <f>+VLOOKUP($L311,Data_Validation!$A:$D,3,0)</f>
        <v>Véhicules usagés</v>
      </c>
      <c r="V311" s="656" t="str">
        <f>+VLOOKUP($L311,Data_Validation!$A:$D,4,0)</f>
        <v>Salaires cadres</v>
      </c>
      <c r="W311" s="656" t="str">
        <f>+VLOOKUP($L311,Data_Validation!$A:$E,5,0)</f>
        <v>$</v>
      </c>
      <c r="X311" s="656">
        <f>+VLOOKUP($L311,Data_Validation!$A:$F,6,0)</f>
        <v>0</v>
      </c>
    </row>
    <row r="312" spans="1:24" ht="15" customHeight="1">
      <c r="A312" s="1218" t="s">
        <v>1173</v>
      </c>
      <c r="B312" s="1218" t="s">
        <v>2355</v>
      </c>
      <c r="C312" s="1220">
        <v>22871.77</v>
      </c>
      <c r="D312" s="1220">
        <v>1911.65</v>
      </c>
      <c r="E312" s="1220">
        <v>24783.42</v>
      </c>
      <c r="F312" s="1218" t="s">
        <v>1154</v>
      </c>
      <c r="G312" s="1218" t="s">
        <v>1174</v>
      </c>
      <c r="H312" s="1218" t="s">
        <v>3950</v>
      </c>
      <c r="I312" s="651"/>
      <c r="J312" s="651"/>
      <c r="K312" s="651"/>
      <c r="L312" s="653" t="str">
        <f t="shared" si="181"/>
        <v>6223</v>
      </c>
      <c r="M312" s="654" t="str">
        <f t="shared" si="182"/>
        <v>SAL. &amp; RENUM. - CLERICAL</v>
      </c>
      <c r="N312" s="655">
        <f>+IF(OR($Q312=Parametres!$G$2,$Q312=Parametres!$G$3),I312,C312)</f>
        <v>22871.77</v>
      </c>
      <c r="O312" s="655">
        <f>+IF(OR($Q312=Parametres!$G$2,$Q312=Parametres!$G$3),J312,D312)</f>
        <v>1911.65</v>
      </c>
      <c r="P312" s="655">
        <f>+IF(OR($Q312=Parametres!$G$2,$Q312=Parametres!$G$3),K312,E312)</f>
        <v>24783.42</v>
      </c>
      <c r="Q312" s="654" t="str">
        <f t="shared" si="183"/>
        <v>7-Dépenses</v>
      </c>
      <c r="R312" s="653" t="str">
        <f t="shared" si="184"/>
        <v>6123</v>
      </c>
      <c r="S312" s="654" t="str">
        <f t="shared" si="185"/>
        <v>_</v>
      </c>
      <c r="T312" s="656" t="str">
        <f>+VLOOKUP($L312,Data_Validation!$A:$D,1,0)</f>
        <v>6223</v>
      </c>
      <c r="U312" s="656" t="str">
        <f>+VLOOKUP($L312,Data_Validation!$A:$D,3,0)</f>
        <v>Véhicules usagés</v>
      </c>
      <c r="V312" s="656" t="str">
        <f>+VLOOKUP($L312,Data_Validation!$A:$D,4,0)</f>
        <v>Salaires commis</v>
      </c>
      <c r="W312" s="656" t="str">
        <f>+VLOOKUP($L312,Data_Validation!$A:$E,5,0)</f>
        <v>$</v>
      </c>
      <c r="X312" s="656">
        <f>+VLOOKUP($L312,Data_Validation!$A:$F,6,0)</f>
        <v>0</v>
      </c>
    </row>
    <row r="313" spans="1:24" ht="15" customHeight="1">
      <c r="A313" s="1218" t="s">
        <v>1228</v>
      </c>
      <c r="B313" s="1218" t="s">
        <v>2358</v>
      </c>
      <c r="C313" s="1220">
        <v>30107.85</v>
      </c>
      <c r="D313" s="1220">
        <v>5511.25</v>
      </c>
      <c r="E313" s="1220">
        <v>35619.1</v>
      </c>
      <c r="F313" s="1218" t="s">
        <v>1154</v>
      </c>
      <c r="G313" s="1218" t="s">
        <v>1176</v>
      </c>
      <c r="H313" s="1218" t="s">
        <v>3950</v>
      </c>
      <c r="I313" s="652"/>
      <c r="J313" s="652"/>
      <c r="K313" s="652"/>
      <c r="L313" s="653" t="str">
        <f t="shared" si="181"/>
        <v>6224</v>
      </c>
      <c r="M313" s="654" t="str">
        <f t="shared" si="182"/>
        <v>SALAIRE &amp; RENUM. - AUTRES</v>
      </c>
      <c r="N313" s="655">
        <f>+IF(OR($Q313=Parametres!$G$2,$Q313=Parametres!$G$3),I313,C313)</f>
        <v>30107.85</v>
      </c>
      <c r="O313" s="655">
        <f>+IF(OR($Q313=Parametres!$G$2,$Q313=Parametres!$G$3),J313,D313)</f>
        <v>5511.25</v>
      </c>
      <c r="P313" s="655">
        <f>+IF(OR($Q313=Parametres!$G$2,$Q313=Parametres!$G$3),K313,E313)</f>
        <v>35619.1</v>
      </c>
      <c r="Q313" s="654" t="str">
        <f t="shared" si="183"/>
        <v>7-Dépenses</v>
      </c>
      <c r="R313" s="653" t="str">
        <f t="shared" si="184"/>
        <v>6124</v>
      </c>
      <c r="S313" s="654" t="str">
        <f t="shared" si="185"/>
        <v>_</v>
      </c>
      <c r="T313" s="656" t="str">
        <f>+VLOOKUP($L313,Data_Validation!$A:$D,1,0)</f>
        <v>6224</v>
      </c>
      <c r="U313" s="656" t="str">
        <f>+VLOOKUP($L313,Data_Validation!$A:$D,3,0)</f>
        <v>Véhicules usagés</v>
      </c>
      <c r="V313" s="656" t="str">
        <f>+VLOOKUP($L313,Data_Validation!$A:$D,4,0)</f>
        <v>Salaires autres</v>
      </c>
      <c r="W313" s="656" t="str">
        <f>+VLOOKUP($L313,Data_Validation!$A:$E,5,0)</f>
        <v>$</v>
      </c>
      <c r="X313" s="656">
        <f>+VLOOKUP($L313,Data_Validation!$A:$F,6,0)</f>
        <v>0</v>
      </c>
    </row>
    <row r="314" spans="1:24" ht="15" customHeight="1">
      <c r="A314" s="1218" t="s">
        <v>1229</v>
      </c>
      <c r="B314" s="1218" t="s">
        <v>2359</v>
      </c>
      <c r="C314" s="1220">
        <v>48430.89</v>
      </c>
      <c r="D314" s="1220">
        <v>7271.51</v>
      </c>
      <c r="E314" s="1220">
        <v>55702.400000000001</v>
      </c>
      <c r="F314" s="1218" t="s">
        <v>1154</v>
      </c>
      <c r="G314" s="1218" t="s">
        <v>1178</v>
      </c>
      <c r="H314" s="1218" t="s">
        <v>3950</v>
      </c>
      <c r="I314" s="651"/>
      <c r="J314" s="651"/>
      <c r="K314" s="651"/>
      <c r="L314" s="653" t="str">
        <f t="shared" si="181"/>
        <v>6229</v>
      </c>
      <c r="M314" s="654" t="str">
        <f t="shared" si="182"/>
        <v>ABS.,VACANCES &amp; SAL. JOURS FER</v>
      </c>
      <c r="N314" s="655">
        <f>+IF(OR($Q314=Parametres!$G$2,$Q314=Parametres!$G$3),I314,C314)</f>
        <v>48430.89</v>
      </c>
      <c r="O314" s="659">
        <f>+IF(OR($Q314=Parametres!$G$2,$Q314=Parametres!$G$3),J314,D314)</f>
        <v>7271.51</v>
      </c>
      <c r="P314" s="655">
        <f>+IF(OR($Q314=Parametres!$G$2,$Q314=Parametres!$G$3),K314,E314)</f>
        <v>55702.400000000001</v>
      </c>
      <c r="Q314" s="654" t="str">
        <f t="shared" si="183"/>
        <v>7-Dépenses</v>
      </c>
      <c r="R314" s="653" t="str">
        <f t="shared" si="184"/>
        <v>6129</v>
      </c>
      <c r="S314" s="654" t="str">
        <f t="shared" si="185"/>
        <v>_</v>
      </c>
      <c r="T314" s="656" t="str">
        <f>+VLOOKUP($L314,Data_Validation!$A:$D,1,0)</f>
        <v>6229</v>
      </c>
      <c r="U314" s="656" t="str">
        <f>+VLOOKUP($L314,Data_Validation!$A:$D,3,0)</f>
        <v>Véhicules usagés</v>
      </c>
      <c r="V314" s="656" t="str">
        <f>+VLOOKUP($L314,Data_Validation!$A:$D,4,0)</f>
        <v>Salaires en absences</v>
      </c>
      <c r="W314" s="656" t="str">
        <f>+VLOOKUP($L314,Data_Validation!$A:$E,5,0)</f>
        <v>$</v>
      </c>
      <c r="X314" s="656">
        <f>+VLOOKUP($L314,Data_Validation!$A:$F,6,0)</f>
        <v>0</v>
      </c>
    </row>
    <row r="315" spans="1:24" ht="15" customHeight="1">
      <c r="A315" s="1218" t="s">
        <v>1179</v>
      </c>
      <c r="B315" s="1218" t="s">
        <v>2362</v>
      </c>
      <c r="C315" s="1220">
        <v>7863.98</v>
      </c>
      <c r="D315" s="1220">
        <v>805.56</v>
      </c>
      <c r="E315" s="1220">
        <v>8669.5400000000009</v>
      </c>
      <c r="F315" s="1218" t="s">
        <v>1154</v>
      </c>
      <c r="G315" s="1218" t="s">
        <v>1180</v>
      </c>
      <c r="H315" s="1218" t="s">
        <v>3950</v>
      </c>
      <c r="I315" s="652"/>
      <c r="J315" s="652"/>
      <c r="K315" s="652"/>
      <c r="L315" s="653" t="str">
        <f t="shared" si="181"/>
        <v>6231</v>
      </c>
      <c r="M315" s="654" t="str">
        <f t="shared" si="182"/>
        <v>CSST</v>
      </c>
      <c r="N315" s="655">
        <f>+IF(OR($Q315=Parametres!$G$2,$Q315=Parametres!$G$3),I315,C315)</f>
        <v>7863.98</v>
      </c>
      <c r="O315" s="655">
        <f>+IF(OR($Q315=Parametres!$G$2,$Q315=Parametres!$G$3),J315,D315)</f>
        <v>805.56</v>
      </c>
      <c r="P315" s="655">
        <f>+IF(OR($Q315=Parametres!$G$2,$Q315=Parametres!$G$3),K315,E315)</f>
        <v>8669.5400000000009</v>
      </c>
      <c r="Q315" s="654" t="str">
        <f t="shared" si="183"/>
        <v>7-Dépenses</v>
      </c>
      <c r="R315" s="653" t="str">
        <f t="shared" si="184"/>
        <v>6131</v>
      </c>
      <c r="S315" s="654" t="str">
        <f t="shared" si="185"/>
        <v>_</v>
      </c>
      <c r="T315" s="656" t="str">
        <f>+VLOOKUP($L315,Data_Validation!$A:$D,1,0)</f>
        <v>6231</v>
      </c>
      <c r="U315" s="656" t="str">
        <f>+VLOOKUP($L315,Data_Validation!$A:$D,3,0)</f>
        <v>Véhicules usagés</v>
      </c>
      <c r="V315" s="656" t="str">
        <f>+VLOOKUP($L315,Data_Validation!$A:$D,4,0)</f>
        <v>Csst</v>
      </c>
      <c r="W315" s="656" t="str">
        <f>+VLOOKUP($L315,Data_Validation!$A:$E,5,0)</f>
        <v>$</v>
      </c>
      <c r="X315" s="656">
        <f>+VLOOKUP($L315,Data_Validation!$A:$F,6,0)</f>
        <v>0</v>
      </c>
    </row>
    <row r="316" spans="1:24" ht="15" customHeight="1">
      <c r="A316" s="1218" t="s">
        <v>1181</v>
      </c>
      <c r="B316" s="1218" t="s">
        <v>2365</v>
      </c>
      <c r="C316" s="1220">
        <v>56359.7</v>
      </c>
      <c r="D316" s="1220">
        <v>8415.69</v>
      </c>
      <c r="E316" s="1220">
        <v>64775.39</v>
      </c>
      <c r="F316" s="1218" t="s">
        <v>1154</v>
      </c>
      <c r="G316" s="1218" t="s">
        <v>1182</v>
      </c>
      <c r="H316" s="1218" t="s">
        <v>3950</v>
      </c>
      <c r="I316" s="651"/>
      <c r="J316" s="651"/>
      <c r="K316" s="651"/>
      <c r="L316" s="653" t="str">
        <f t="shared" si="181"/>
        <v>6232</v>
      </c>
      <c r="M316" s="654" t="str">
        <f t="shared" si="182"/>
        <v>RRQ RAMQ AC</v>
      </c>
      <c r="N316" s="655">
        <f>+IF(OR($Q316=Parametres!$G$2,$Q316=Parametres!$G$3),I316,C316)</f>
        <v>56359.7</v>
      </c>
      <c r="O316" s="655">
        <f>+IF(OR($Q316=Parametres!$G$2,$Q316=Parametres!$G$3),J316,D316)</f>
        <v>8415.69</v>
      </c>
      <c r="P316" s="655">
        <f>+IF(OR($Q316=Parametres!$G$2,$Q316=Parametres!$G$3),K316,E316)</f>
        <v>64775.39</v>
      </c>
      <c r="Q316" s="654" t="str">
        <f t="shared" si="183"/>
        <v>7-Dépenses</v>
      </c>
      <c r="R316" s="653" t="str">
        <f t="shared" si="184"/>
        <v>6132</v>
      </c>
      <c r="S316" s="654" t="str">
        <f t="shared" si="185"/>
        <v>_</v>
      </c>
      <c r="T316" s="656" t="str">
        <f>+VLOOKUP($L316,Data_Validation!$A:$D,1,0)</f>
        <v>6232</v>
      </c>
      <c r="U316" s="656" t="str">
        <f>+VLOOKUP($L316,Data_Validation!$A:$D,3,0)</f>
        <v>Véhicules usagés</v>
      </c>
      <c r="V316" s="656" t="str">
        <f>+VLOOKUP($L316,Data_Validation!$A:$D,4,0)</f>
        <v>Déduction à la source</v>
      </c>
      <c r="W316" s="656" t="str">
        <f>+VLOOKUP($L316,Data_Validation!$A:$E,5,0)</f>
        <v>$</v>
      </c>
      <c r="X316" s="656">
        <f>+VLOOKUP($L316,Data_Validation!$A:$F,6,0)</f>
        <v>0</v>
      </c>
    </row>
    <row r="317" spans="1:24" ht="15" customHeight="1">
      <c r="A317" s="1218" t="s">
        <v>1230</v>
      </c>
      <c r="B317" s="1218" t="s">
        <v>3390</v>
      </c>
      <c r="C317" s="1220">
        <v>24355.58</v>
      </c>
      <c r="D317" s="1220">
        <v>3289.22</v>
      </c>
      <c r="E317" s="1220">
        <v>27644.799999999999</v>
      </c>
      <c r="F317" s="1218" t="s">
        <v>1154</v>
      </c>
      <c r="G317" s="1218" t="s">
        <v>1184</v>
      </c>
      <c r="H317" s="1218" t="s">
        <v>3950</v>
      </c>
      <c r="I317" s="652"/>
      <c r="J317" s="652"/>
      <c r="K317" s="652"/>
      <c r="L317" s="653" t="str">
        <f t="shared" si="181"/>
        <v>6233</v>
      </c>
      <c r="M317" s="654" t="str">
        <f t="shared" si="182"/>
        <v>FOND PENSION - USAGE</v>
      </c>
      <c r="N317" s="655">
        <f>+IF(OR($Q317=Parametres!$G$2,$Q317=Parametres!$G$3),I317,C317)</f>
        <v>24355.58</v>
      </c>
      <c r="O317" s="659">
        <f>+IF(OR($Q317=Parametres!$G$2,$Q317=Parametres!$G$3),J317,D317)</f>
        <v>3289.22</v>
      </c>
      <c r="P317" s="655">
        <f>+IF(OR($Q317=Parametres!$G$2,$Q317=Parametres!$G$3),K317,E317)</f>
        <v>27644.799999999999</v>
      </c>
      <c r="Q317" s="654" t="str">
        <f t="shared" si="183"/>
        <v>7-Dépenses</v>
      </c>
      <c r="R317" s="653" t="str">
        <f t="shared" si="184"/>
        <v>6133</v>
      </c>
      <c r="S317" s="654" t="str">
        <f t="shared" si="185"/>
        <v>_</v>
      </c>
      <c r="T317" s="656" t="str">
        <f>+VLOOKUP($L317,Data_Validation!$A:$D,1,0)</f>
        <v>6233</v>
      </c>
      <c r="U317" s="656" t="str">
        <f>+VLOOKUP($L317,Data_Validation!$A:$D,3,0)</f>
        <v>Véhicules usagés</v>
      </c>
      <c r="V317" s="656" t="str">
        <f>+VLOOKUP($L317,Data_Validation!$A:$D,4,0)</f>
        <v>Bénéfices marginaux</v>
      </c>
      <c r="W317" s="656" t="str">
        <f>+VLOOKUP($L317,Data_Validation!$A:$E,5,0)</f>
        <v>$</v>
      </c>
      <c r="X317" s="656">
        <f>+VLOOKUP($L317,Data_Validation!$A:$F,6,0)</f>
        <v>0</v>
      </c>
    </row>
    <row r="318" spans="1:24" ht="15.75" customHeight="1">
      <c r="A318" s="1218" t="s">
        <v>1231</v>
      </c>
      <c r="B318" s="1218" t="s">
        <v>2368</v>
      </c>
      <c r="C318" s="1220">
        <v>3675.96</v>
      </c>
      <c r="D318" s="1220">
        <v>458.54</v>
      </c>
      <c r="E318" s="1220">
        <v>4134.5</v>
      </c>
      <c r="F318" s="1218" t="s">
        <v>1154</v>
      </c>
      <c r="G318" s="1218" t="s">
        <v>1186</v>
      </c>
      <c r="H318" s="1218" t="s">
        <v>3950</v>
      </c>
      <c r="I318" s="651"/>
      <c r="J318" s="651"/>
      <c r="K318" s="651"/>
      <c r="L318" s="653" t="str">
        <f t="shared" si="181"/>
        <v>6239</v>
      </c>
      <c r="M318" s="654" t="str">
        <f t="shared" si="182"/>
        <v>ASSURANCE GROUPE</v>
      </c>
      <c r="N318" s="655">
        <f>+IF(OR($Q318=Parametres!$G$2,$Q318=Parametres!$G$3),I318,C318)</f>
        <v>3675.96</v>
      </c>
      <c r="O318" s="655">
        <f>+IF(OR($Q318=Parametres!$G$2,$Q318=Parametres!$G$3),J318,D318)</f>
        <v>458.54</v>
      </c>
      <c r="P318" s="655">
        <f>+IF(OR($Q318=Parametres!$G$2,$Q318=Parametres!$G$3),K318,E318)</f>
        <v>4134.5</v>
      </c>
      <c r="Q318" s="654" t="str">
        <f t="shared" si="183"/>
        <v>7-Dépenses</v>
      </c>
      <c r="R318" s="653" t="str">
        <f t="shared" si="184"/>
        <v>6139</v>
      </c>
      <c r="S318" s="654" t="str">
        <f t="shared" si="185"/>
        <v>_</v>
      </c>
      <c r="T318" s="656" t="str">
        <f>+VLOOKUP($L318,Data_Validation!$A:$D,1,0)</f>
        <v>6239</v>
      </c>
      <c r="U318" s="656" t="str">
        <f>+VLOOKUP($L318,Data_Validation!$A:$D,3,0)</f>
        <v>Véhicules usagés</v>
      </c>
      <c r="V318" s="656" t="str">
        <f>+VLOOKUP($L318,Data_Validation!$A:$D,4,0)</f>
        <v>Bénéfices marginaux</v>
      </c>
      <c r="W318" s="656" t="str">
        <f>+VLOOKUP($L318,Data_Validation!$A:$E,5,0)</f>
        <v>$</v>
      </c>
      <c r="X318" s="656">
        <f>+VLOOKUP($L318,Data_Validation!$A:$F,6,0)</f>
        <v>0</v>
      </c>
    </row>
    <row r="319" spans="1:24" ht="15" customHeight="1">
      <c r="A319" s="1218" t="s">
        <v>1187</v>
      </c>
      <c r="B319" s="1218" t="s">
        <v>2374</v>
      </c>
      <c r="C319" s="1220">
        <v>306.39</v>
      </c>
      <c r="D319" s="1220">
        <v>0</v>
      </c>
      <c r="E319" s="1220">
        <v>306.39</v>
      </c>
      <c r="F319" s="1218" t="s">
        <v>1154</v>
      </c>
      <c r="G319" s="1218" t="s">
        <v>1188</v>
      </c>
      <c r="H319" s="1218" t="s">
        <v>3950</v>
      </c>
      <c r="I319" s="652"/>
      <c r="J319" s="652"/>
      <c r="K319" s="652"/>
      <c r="L319" s="653" t="str">
        <f t="shared" si="181"/>
        <v>6242</v>
      </c>
      <c r="M319" s="654" t="str">
        <f t="shared" si="182"/>
        <v>FOURNITURES &amp; PETITS OUTILS</v>
      </c>
      <c r="N319" s="655">
        <f>+IF(OR($Q319=Parametres!$G$2,$Q319=Parametres!$G$3),I319,C319)</f>
        <v>306.39</v>
      </c>
      <c r="O319" s="659">
        <f>+IF(OR($Q319=Parametres!$G$2,$Q319=Parametres!$G$3),J319,D319)</f>
        <v>0</v>
      </c>
      <c r="P319" s="655">
        <f>+IF(OR($Q319=Parametres!$G$2,$Q319=Parametres!$G$3),K319,E319)</f>
        <v>306.39</v>
      </c>
      <c r="Q319" s="654" t="str">
        <f t="shared" si="183"/>
        <v>7-Dépenses</v>
      </c>
      <c r="R319" s="653" t="str">
        <f t="shared" si="184"/>
        <v>6142</v>
      </c>
      <c r="S319" s="654" t="str">
        <f t="shared" si="185"/>
        <v>_</v>
      </c>
      <c r="T319" s="656" t="str">
        <f>+VLOOKUP($L319,Data_Validation!$A:$D,1,0)</f>
        <v>6242</v>
      </c>
      <c r="U319" s="656" t="str">
        <f>+VLOOKUP($L319,Data_Validation!$A:$D,3,0)</f>
        <v>Véhicules usagés</v>
      </c>
      <c r="V319" s="656" t="str">
        <f>+VLOOKUP($L319,Data_Validation!$A:$D,4,0)</f>
        <v>Fournitures autres</v>
      </c>
      <c r="W319" s="656" t="str">
        <f>+VLOOKUP($L319,Data_Validation!$A:$E,5,0)</f>
        <v>$</v>
      </c>
      <c r="X319" s="656">
        <f>+VLOOKUP($L319,Data_Validation!$A:$F,6,0)</f>
        <v>0</v>
      </c>
    </row>
    <row r="320" spans="1:24" ht="15" customHeight="1">
      <c r="A320" s="1218" t="s">
        <v>1191</v>
      </c>
      <c r="B320" s="1218" t="s">
        <v>2379</v>
      </c>
      <c r="C320" s="1220">
        <v>2506.11</v>
      </c>
      <c r="D320" s="1220">
        <v>1426.22</v>
      </c>
      <c r="E320" s="1220">
        <v>3932.33</v>
      </c>
      <c r="F320" s="1218" t="s">
        <v>1154</v>
      </c>
      <c r="G320" s="1218" t="s">
        <v>1192</v>
      </c>
      <c r="H320" s="1218" t="s">
        <v>3950</v>
      </c>
      <c r="I320" s="663"/>
      <c r="J320" s="663"/>
      <c r="K320" s="663"/>
      <c r="L320" s="653" t="str">
        <f t="shared" si="181"/>
        <v>6244</v>
      </c>
      <c r="M320" s="654" t="str">
        <f t="shared" si="182"/>
        <v>FORMATION</v>
      </c>
      <c r="N320" s="655">
        <f>+IF(OR($Q320=Parametres!$G$2,$Q320=Parametres!$G$3),I320,C320)</f>
        <v>2506.11</v>
      </c>
      <c r="O320" s="655">
        <f>+IF(OR($Q320=Parametres!$G$2,$Q320=Parametres!$G$3),J320,D320)</f>
        <v>1426.22</v>
      </c>
      <c r="P320" s="655">
        <f>+IF(OR($Q320=Parametres!$G$2,$Q320=Parametres!$G$3),K320,E320)</f>
        <v>3932.33</v>
      </c>
      <c r="Q320" s="654" t="str">
        <f t="shared" si="183"/>
        <v>7-Dépenses</v>
      </c>
      <c r="R320" s="653" t="str">
        <f t="shared" si="184"/>
        <v>6144</v>
      </c>
      <c r="S320" s="654" t="str">
        <f t="shared" si="185"/>
        <v>_</v>
      </c>
      <c r="T320" s="656" t="str">
        <f>+VLOOKUP($L320,Data_Validation!$A:$D,1,0)</f>
        <v>6244</v>
      </c>
      <c r="U320" s="656" t="str">
        <f>+VLOOKUP($L320,Data_Validation!$A:$D,3,0)</f>
        <v>Véhicules usagés</v>
      </c>
      <c r="V320" s="656" t="str">
        <f>+VLOOKUP($L320,Data_Validation!$A:$D,4,0)</f>
        <v>Formation</v>
      </c>
      <c r="W320" s="656" t="str">
        <f>+VLOOKUP($L320,Data_Validation!$A:$E,5,0)</f>
        <v>$</v>
      </c>
      <c r="X320" s="656">
        <f>+VLOOKUP($L320,Data_Validation!$A:$F,6,0)</f>
        <v>0</v>
      </c>
    </row>
    <row r="321" spans="1:24" ht="15" customHeight="1">
      <c r="A321" s="1218" t="s">
        <v>1193</v>
      </c>
      <c r="B321" s="1218" t="s">
        <v>2382</v>
      </c>
      <c r="C321" s="1220">
        <v>13335</v>
      </c>
      <c r="D321" s="1220">
        <v>1424.94</v>
      </c>
      <c r="E321" s="1220">
        <v>14759.94</v>
      </c>
      <c r="F321" s="1218" t="s">
        <v>1154</v>
      </c>
      <c r="G321" s="1218" t="s">
        <v>1194</v>
      </c>
      <c r="H321" s="1218" t="s">
        <v>3950</v>
      </c>
      <c r="I321" s="663"/>
      <c r="J321" s="663"/>
      <c r="K321" s="663"/>
      <c r="L321" s="653" t="str">
        <f t="shared" si="181"/>
        <v>6245</v>
      </c>
      <c r="M321" s="654" t="str">
        <f t="shared" si="182"/>
        <v>VEHICULE DE COMPAGNIE - DEPENS</v>
      </c>
      <c r="N321" s="655">
        <f>+IF(OR($Q321=Parametres!$G$2,$Q321=Parametres!$G$3),I321,C321)</f>
        <v>13335</v>
      </c>
      <c r="O321" s="655">
        <f>+IF(OR($Q321=Parametres!$G$2,$Q321=Parametres!$G$3),J321,D321)</f>
        <v>1424.94</v>
      </c>
      <c r="P321" s="655">
        <f>+IF(OR($Q321=Parametres!$G$2,$Q321=Parametres!$G$3),K321,E321)</f>
        <v>14759.94</v>
      </c>
      <c r="Q321" s="654" t="str">
        <f t="shared" si="183"/>
        <v>7-Dépenses</v>
      </c>
      <c r="R321" s="653" t="str">
        <f t="shared" si="184"/>
        <v>6145</v>
      </c>
      <c r="S321" s="654" t="str">
        <f t="shared" si="185"/>
        <v>_</v>
      </c>
      <c r="T321" s="656" t="str">
        <f>+VLOOKUP($L321,Data_Validation!$A:$D,1,0)</f>
        <v>6245</v>
      </c>
      <c r="U321" s="656" t="str">
        <f>+VLOOKUP($L321,Data_Validation!$A:$D,3,0)</f>
        <v>Véhicules usagés</v>
      </c>
      <c r="V321" s="656" t="str">
        <f>+VLOOKUP($L321,Data_Validation!$A:$D,4,0)</f>
        <v>Frais véhicules de cie</v>
      </c>
      <c r="W321" s="656" t="str">
        <f>+VLOOKUP($L321,Data_Validation!$A:$E,5,0)</f>
        <v>$</v>
      </c>
      <c r="X321" s="656">
        <f>+VLOOKUP($L321,Data_Validation!$A:$F,6,0)</f>
        <v>0</v>
      </c>
    </row>
    <row r="322" spans="1:24" ht="15.75" customHeight="1">
      <c r="A322" s="1218" t="s">
        <v>1195</v>
      </c>
      <c r="B322" s="1218" t="s">
        <v>2385</v>
      </c>
      <c r="C322" s="1220">
        <v>880.8</v>
      </c>
      <c r="D322" s="1220">
        <v>20.48</v>
      </c>
      <c r="E322" s="1220">
        <v>901.28</v>
      </c>
      <c r="F322" s="1218" t="s">
        <v>1154</v>
      </c>
      <c r="G322" s="1218" t="s">
        <v>1196</v>
      </c>
      <c r="H322" s="1218" t="s">
        <v>3950</v>
      </c>
      <c r="I322" s="651"/>
      <c r="J322" s="651"/>
      <c r="K322" s="651"/>
      <c r="L322" s="653" t="str">
        <f t="shared" si="181"/>
        <v>6247</v>
      </c>
      <c r="M322" s="654" t="str">
        <f t="shared" si="182"/>
        <v>FRET/EXPRESS/TRANS. PAR CAMION</v>
      </c>
      <c r="N322" s="655">
        <f>+IF(OR($Q322=Parametres!$G$2,$Q322=Parametres!$G$3),I322,C322)</f>
        <v>880.8</v>
      </c>
      <c r="O322" s="659">
        <f>+IF(OR($Q322=Parametres!$G$2,$Q322=Parametres!$G$3),J322,D322)</f>
        <v>20.48</v>
      </c>
      <c r="P322" s="655">
        <f>+IF(OR($Q322=Parametres!$G$2,$Q322=Parametres!$G$3),K322,E322)</f>
        <v>901.28</v>
      </c>
      <c r="Q322" s="654" t="str">
        <f t="shared" si="183"/>
        <v>7-Dépenses</v>
      </c>
      <c r="R322" s="653" t="str">
        <f t="shared" si="184"/>
        <v>6147</v>
      </c>
      <c r="S322" s="654" t="str">
        <f t="shared" si="185"/>
        <v>_</v>
      </c>
      <c r="T322" s="656" t="str">
        <f>+VLOOKUP($L322,Data_Validation!$A:$D,1,0)</f>
        <v>6247</v>
      </c>
      <c r="U322" s="656" t="str">
        <f>+VLOOKUP($L322,Data_Validation!$A:$D,3,0)</f>
        <v>Véhicules usagés</v>
      </c>
      <c r="V322" s="656" t="str">
        <f>+VLOOKUP($L322,Data_Validation!$A:$D,4,0)</f>
        <v>Frais postaux</v>
      </c>
      <c r="W322" s="656" t="str">
        <f>+VLOOKUP($L322,Data_Validation!$A:$E,5,0)</f>
        <v>$</v>
      </c>
      <c r="X322" s="656">
        <f>+VLOOKUP($L322,Data_Validation!$A:$F,6,0)</f>
        <v>0</v>
      </c>
    </row>
    <row r="323" spans="1:24" ht="15" customHeight="1">
      <c r="A323" s="1218" t="s">
        <v>1197</v>
      </c>
      <c r="B323" s="1218" t="s">
        <v>2388</v>
      </c>
      <c r="C323" s="1220">
        <v>19867.830000000002</v>
      </c>
      <c r="D323" s="1220">
        <v>4055.32</v>
      </c>
      <c r="E323" s="1220">
        <v>23923.15</v>
      </c>
      <c r="F323" s="1218" t="s">
        <v>1154</v>
      </c>
      <c r="G323" s="1218" t="s">
        <v>1198</v>
      </c>
      <c r="H323" s="1218" t="s">
        <v>3950</v>
      </c>
      <c r="I323" s="652"/>
      <c r="J323" s="652"/>
      <c r="K323" s="652"/>
      <c r="L323" s="653" t="str">
        <f t="shared" si="181"/>
        <v>6251</v>
      </c>
      <c r="M323" s="654" t="str">
        <f t="shared" si="182"/>
        <v>DEP. DU TRAITEMENT DES DONNEES</v>
      </c>
      <c r="N323" s="655">
        <f>+IF(OR($Q323=Parametres!$G$2,$Q323=Parametres!$G$3),I323,C323)</f>
        <v>19867.830000000002</v>
      </c>
      <c r="O323" s="659">
        <f>+IF(OR($Q323=Parametres!$G$2,$Q323=Parametres!$G$3),J323,D323)</f>
        <v>4055.32</v>
      </c>
      <c r="P323" s="655">
        <f>+IF(OR($Q323=Parametres!$G$2,$Q323=Parametres!$G$3),K323,E323)</f>
        <v>23923.15</v>
      </c>
      <c r="Q323" s="654" t="str">
        <f t="shared" si="183"/>
        <v>7-Dépenses</v>
      </c>
      <c r="R323" s="653" t="str">
        <f t="shared" si="184"/>
        <v>6151</v>
      </c>
      <c r="S323" s="654" t="str">
        <f t="shared" si="185"/>
        <v>_</v>
      </c>
      <c r="T323" s="656" t="str">
        <f>+VLOOKUP($L323,Data_Validation!$A:$D,1,0)</f>
        <v>6251</v>
      </c>
      <c r="U323" s="656" t="str">
        <f>+VLOOKUP($L323,Data_Validation!$A:$D,3,0)</f>
        <v>Véhicules usagés</v>
      </c>
      <c r="V323" s="656" t="str">
        <f>+VLOOKUP($L323,Data_Validation!$A:$D,4,0)</f>
        <v>Informatique</v>
      </c>
      <c r="W323" s="656" t="str">
        <f>+VLOOKUP($L323,Data_Validation!$A:$E,5,0)</f>
        <v>$</v>
      </c>
      <c r="X323" s="656">
        <f>+VLOOKUP($L323,Data_Validation!$A:$F,6,0)</f>
        <v>0</v>
      </c>
    </row>
    <row r="324" spans="1:24" ht="15" customHeight="1">
      <c r="A324" s="1218" t="s">
        <v>1199</v>
      </c>
      <c r="B324" s="1218" t="s">
        <v>2391</v>
      </c>
      <c r="C324" s="1220">
        <v>1972.18</v>
      </c>
      <c r="D324" s="1220">
        <v>81.94</v>
      </c>
      <c r="E324" s="1220">
        <v>2054.12</v>
      </c>
      <c r="F324" s="1218" t="s">
        <v>1154</v>
      </c>
      <c r="G324" s="1218" t="s">
        <v>1200</v>
      </c>
      <c r="H324" s="1218" t="s">
        <v>3950</v>
      </c>
      <c r="I324" s="670"/>
      <c r="J324" s="651"/>
      <c r="K324" s="670"/>
      <c r="L324" s="653" t="str">
        <f t="shared" si="181"/>
        <v>6252</v>
      </c>
      <c r="M324" s="654" t="str">
        <f t="shared" si="182"/>
        <v>PAPETERIE</v>
      </c>
      <c r="N324" s="655">
        <f>+IF(OR($Q324=Parametres!$G$2,$Q324=Parametres!$G$3),I324,C324)</f>
        <v>1972.18</v>
      </c>
      <c r="O324" s="655">
        <f>+IF(OR($Q324=Parametres!$G$2,$Q324=Parametres!$G$3),J324,D324)</f>
        <v>81.94</v>
      </c>
      <c r="P324" s="655">
        <f>+IF(OR($Q324=Parametres!$G$2,$Q324=Parametres!$G$3),K324,E324)</f>
        <v>2054.12</v>
      </c>
      <c r="Q324" s="654" t="str">
        <f t="shared" si="183"/>
        <v>7-Dépenses</v>
      </c>
      <c r="R324" s="653" t="str">
        <f t="shared" si="184"/>
        <v>6152</v>
      </c>
      <c r="S324" s="654" t="str">
        <f t="shared" si="185"/>
        <v>_</v>
      </c>
      <c r="T324" s="656" t="str">
        <f>+VLOOKUP($L324,Data_Validation!$A:$D,1,0)</f>
        <v>6252</v>
      </c>
      <c r="U324" s="656" t="str">
        <f>+VLOOKUP($L324,Data_Validation!$A:$D,3,0)</f>
        <v>Véhicules usagés</v>
      </c>
      <c r="V324" s="656" t="str">
        <f>+VLOOKUP($L324,Data_Validation!$A:$D,4,0)</f>
        <v>Papeterie</v>
      </c>
      <c r="W324" s="656" t="str">
        <f>+VLOOKUP($L324,Data_Validation!$A:$E,5,0)</f>
        <v>$</v>
      </c>
      <c r="X324" s="656">
        <f>+VLOOKUP($L324,Data_Validation!$A:$F,6,0)</f>
        <v>0</v>
      </c>
    </row>
    <row r="325" spans="1:24" ht="15" customHeight="1">
      <c r="A325" s="1218" t="s">
        <v>1201</v>
      </c>
      <c r="B325" s="1218" t="s">
        <v>2394</v>
      </c>
      <c r="C325" s="1220">
        <v>502.06</v>
      </c>
      <c r="D325" s="1220">
        <v>66.8</v>
      </c>
      <c r="E325" s="1220">
        <v>568.86</v>
      </c>
      <c r="F325" s="1218" t="s">
        <v>1154</v>
      </c>
      <c r="G325" s="1218" t="s">
        <v>1202</v>
      </c>
      <c r="H325" s="1218" t="s">
        <v>3950</v>
      </c>
      <c r="I325" s="670"/>
      <c r="J325" s="651"/>
      <c r="K325" s="670"/>
      <c r="L325" s="653" t="str">
        <f t="shared" si="181"/>
        <v>6253</v>
      </c>
      <c r="M325" s="654" t="str">
        <f t="shared" si="182"/>
        <v>TELEPHONE ET TELEX</v>
      </c>
      <c r="N325" s="655">
        <f>+IF(OR($Q325=Parametres!$G$2,$Q325=Parametres!$G$3),I325,C325)</f>
        <v>502.06</v>
      </c>
      <c r="O325" s="659">
        <f>+IF(OR($Q325=Parametres!$G$2,$Q325=Parametres!$G$3),J325,D325)</f>
        <v>66.8</v>
      </c>
      <c r="P325" s="655">
        <f>+IF(OR($Q325=Parametres!$G$2,$Q325=Parametres!$G$3),K325,E325)</f>
        <v>568.86</v>
      </c>
      <c r="Q325" s="654" t="str">
        <f t="shared" si="183"/>
        <v>7-Dépenses</v>
      </c>
      <c r="R325" s="653" t="str">
        <f t="shared" si="184"/>
        <v>6153</v>
      </c>
      <c r="S325" s="654" t="str">
        <f t="shared" si="185"/>
        <v>_</v>
      </c>
      <c r="T325" s="656" t="str">
        <f>+VLOOKUP($L325,Data_Validation!$A:$D,1,0)</f>
        <v>6253</v>
      </c>
      <c r="U325" s="656" t="str">
        <f>+VLOOKUP($L325,Data_Validation!$A:$D,3,0)</f>
        <v>Véhicules usagés</v>
      </c>
      <c r="V325" s="656" t="str">
        <f>+VLOOKUP($L325,Data_Validation!$A:$D,4,0)</f>
        <v>Téléphone</v>
      </c>
      <c r="W325" s="656" t="str">
        <f>+VLOOKUP($L325,Data_Validation!$A:$E,5,0)</f>
        <v>$</v>
      </c>
      <c r="X325" s="656">
        <f>+VLOOKUP($L325,Data_Validation!$A:$F,6,0)</f>
        <v>0</v>
      </c>
    </row>
    <row r="326" spans="1:24" ht="15" customHeight="1">
      <c r="A326" s="1218" t="s">
        <v>1203</v>
      </c>
      <c r="B326" s="1218" t="s">
        <v>2397</v>
      </c>
      <c r="C326" s="1220">
        <v>197.74</v>
      </c>
      <c r="D326" s="1220">
        <v>23.52</v>
      </c>
      <c r="E326" s="1220">
        <v>221.26</v>
      </c>
      <c r="F326" s="1218" t="s">
        <v>1154</v>
      </c>
      <c r="G326" s="1218" t="s">
        <v>1204</v>
      </c>
      <c r="H326" s="1218" t="s">
        <v>3950</v>
      </c>
      <c r="I326" s="652"/>
      <c r="J326" s="652"/>
      <c r="K326" s="652"/>
      <c r="L326" s="653" t="str">
        <f t="shared" si="181"/>
        <v>6255</v>
      </c>
      <c r="M326" s="654" t="str">
        <f t="shared" si="182"/>
        <v>DEPENSES DIVERS</v>
      </c>
      <c r="N326" s="655">
        <f>+IF(OR($Q326=Parametres!$G$2,$Q326=Parametres!$G$3),I326,C326)</f>
        <v>197.74</v>
      </c>
      <c r="O326" s="659">
        <f>+IF(OR($Q326=Parametres!$G$2,$Q326=Parametres!$G$3),J326,D326)</f>
        <v>23.52</v>
      </c>
      <c r="P326" s="655">
        <f>+IF(OR($Q326=Parametres!$G$2,$Q326=Parametres!$G$3),K326,E326)</f>
        <v>221.26</v>
      </c>
      <c r="Q326" s="654" t="str">
        <f t="shared" si="183"/>
        <v>7-Dépenses</v>
      </c>
      <c r="R326" s="653" t="str">
        <f t="shared" si="184"/>
        <v>6155</v>
      </c>
      <c r="S326" s="654" t="str">
        <f t="shared" si="185"/>
        <v>_</v>
      </c>
      <c r="T326" s="656" t="str">
        <f>+VLOOKUP($L326,Data_Validation!$A:$D,1,0)</f>
        <v>6255</v>
      </c>
      <c r="U326" s="656" t="str">
        <f>+VLOOKUP($L326,Data_Validation!$A:$D,3,0)</f>
        <v>Véhicules usagés</v>
      </c>
      <c r="V326" s="656" t="str">
        <f>+VLOOKUP($L326,Data_Validation!$A:$D,4,0)</f>
        <v>Divers</v>
      </c>
      <c r="W326" s="656" t="str">
        <f>+VLOOKUP($L326,Data_Validation!$A:$E,5,0)</f>
        <v>$</v>
      </c>
      <c r="X326" s="656">
        <f>+VLOOKUP($L326,Data_Validation!$A:$F,6,0)</f>
        <v>0</v>
      </c>
    </row>
    <row r="327" spans="1:24" ht="15.75" customHeight="1">
      <c r="A327" s="1218" t="s">
        <v>1232</v>
      </c>
      <c r="B327" s="1218" t="s">
        <v>2400</v>
      </c>
      <c r="C327" s="1220">
        <v>3371.37</v>
      </c>
      <c r="D327" s="1220">
        <v>307.99</v>
      </c>
      <c r="E327" s="1220">
        <v>3679.36</v>
      </c>
      <c r="F327" s="1218" t="s">
        <v>1154</v>
      </c>
      <c r="G327" s="1218" t="s">
        <v>1206</v>
      </c>
      <c r="H327" s="1218" t="s">
        <v>3950</v>
      </c>
      <c r="I327" s="652"/>
      <c r="J327" s="652"/>
      <c r="K327" s="652"/>
      <c r="L327" s="653" t="str">
        <f t="shared" si="181"/>
        <v>6256</v>
      </c>
      <c r="M327" s="654" t="str">
        <f t="shared" si="182"/>
        <v>FRAIS REPRESENTATION - USAGE</v>
      </c>
      <c r="N327" s="655">
        <f>+IF(OR($Q327=Parametres!$G$2,$Q327=Parametres!$G$3),I327,C327)</f>
        <v>3371.37</v>
      </c>
      <c r="O327" s="655">
        <f>+IF(OR($Q327=Parametres!$G$2,$Q327=Parametres!$G$3),J327,D327)</f>
        <v>307.99</v>
      </c>
      <c r="P327" s="655">
        <f>+IF(OR($Q327=Parametres!$G$2,$Q327=Parametres!$G$3),K327,E327)</f>
        <v>3679.36</v>
      </c>
      <c r="Q327" s="654" t="str">
        <f t="shared" si="183"/>
        <v>7-Dépenses</v>
      </c>
      <c r="R327" s="653" t="str">
        <f t="shared" si="184"/>
        <v>6156</v>
      </c>
      <c r="S327" s="654" t="str">
        <f t="shared" si="185"/>
        <v>_</v>
      </c>
      <c r="T327" s="656" t="str">
        <f>+VLOOKUP($L327,Data_Validation!$A:$D,1,0)</f>
        <v>6256</v>
      </c>
      <c r="U327" s="656" t="str">
        <f>+VLOOKUP($L327,Data_Validation!$A:$D,3,0)</f>
        <v>Véhicules usagés</v>
      </c>
      <c r="V327" s="656" t="str">
        <f>+VLOOKUP($L327,Data_Validation!$A:$D,4,0)</f>
        <v>Frais de déplacement</v>
      </c>
      <c r="W327" s="656" t="str">
        <f>+VLOOKUP($L327,Data_Validation!$A:$E,5,0)</f>
        <v>$</v>
      </c>
      <c r="X327" s="656">
        <f>+VLOOKUP($L327,Data_Validation!$A:$F,6,0)</f>
        <v>0</v>
      </c>
    </row>
    <row r="328" spans="1:24" ht="15" customHeight="1">
      <c r="A328" s="1218" t="s">
        <v>1233</v>
      </c>
      <c r="B328" s="1218" t="s">
        <v>3391</v>
      </c>
      <c r="C328" s="1220">
        <v>4808.08</v>
      </c>
      <c r="D328" s="1220">
        <v>867.2</v>
      </c>
      <c r="E328" s="1220">
        <v>5675.28</v>
      </c>
      <c r="F328" s="1218" t="s">
        <v>1154</v>
      </c>
      <c r="G328" s="1218" t="s">
        <v>1234</v>
      </c>
      <c r="H328" s="1218" t="s">
        <v>3950</v>
      </c>
      <c r="I328" s="652"/>
      <c r="J328" s="652"/>
      <c r="K328" s="652"/>
      <c r="L328" s="653" t="str">
        <f t="shared" si="181"/>
        <v>6257</v>
      </c>
      <c r="M328" s="654" t="str">
        <f t="shared" si="182"/>
        <v>FRAIS BANCAIRES - USAGE</v>
      </c>
      <c r="N328" s="655">
        <f>+IF(OR($Q328=Parametres!$G$2,$Q328=Parametres!$G$3),I328,C328)</f>
        <v>4808.08</v>
      </c>
      <c r="O328" s="655">
        <f>+IF(OR($Q328=Parametres!$G$2,$Q328=Parametres!$G$3),J328,D328)</f>
        <v>867.2</v>
      </c>
      <c r="P328" s="655">
        <f>+IF(OR($Q328=Parametres!$G$2,$Q328=Parametres!$G$3),K328,E328)</f>
        <v>5675.28</v>
      </c>
      <c r="Q328" s="654" t="str">
        <f t="shared" si="183"/>
        <v>7-Dépenses</v>
      </c>
      <c r="R328" s="653" t="str">
        <f t="shared" si="184"/>
        <v>625</v>
      </c>
      <c r="S328" s="654" t="str">
        <f t="shared" si="185"/>
        <v>_</v>
      </c>
      <c r="T328" s="656" t="str">
        <f>+VLOOKUP($L328,Data_Validation!$A:$D,1,0)</f>
        <v>6257</v>
      </c>
      <c r="U328" s="656" t="str">
        <f>+VLOOKUP($L328,Data_Validation!$A:$D,3,0)</f>
        <v>Véhicules usagés</v>
      </c>
      <c r="V328" s="656" t="str">
        <f>+VLOOKUP($L328,Data_Validation!$A:$D,4,0)</f>
        <v>Frais bancaires</v>
      </c>
      <c r="W328" s="656" t="str">
        <f>+VLOOKUP($L328,Data_Validation!$A:$E,5,0)</f>
        <v>$</v>
      </c>
      <c r="X328" s="656">
        <f>+VLOOKUP($L328,Data_Validation!$A:$F,6,0)</f>
        <v>0</v>
      </c>
    </row>
    <row r="329" spans="1:24" ht="15" customHeight="1">
      <c r="A329" s="1218" t="s">
        <v>1209</v>
      </c>
      <c r="B329" s="1218" t="s">
        <v>2403</v>
      </c>
      <c r="C329" s="1220">
        <v>19239.02</v>
      </c>
      <c r="D329" s="1220">
        <v>2003.58</v>
      </c>
      <c r="E329" s="1220">
        <v>21242.6</v>
      </c>
      <c r="F329" s="1218" t="s">
        <v>1154</v>
      </c>
      <c r="G329" s="1218" t="s">
        <v>1210</v>
      </c>
      <c r="H329" s="1218" t="s">
        <v>3950</v>
      </c>
      <c r="I329" s="651"/>
      <c r="J329" s="651"/>
      <c r="K329" s="651"/>
      <c r="L329" s="653" t="str">
        <f t="shared" si="181"/>
        <v>6259</v>
      </c>
      <c r="M329" s="654" t="str">
        <f t="shared" si="182"/>
        <v>SERVICE EXTERIEUR</v>
      </c>
      <c r="N329" s="655">
        <f>+IF(OR($Q329=Parametres!$G$2,$Q329=Parametres!$G$3),I329,C329)</f>
        <v>19239.02</v>
      </c>
      <c r="O329" s="655">
        <f>+IF(OR($Q329=Parametres!$G$2,$Q329=Parametres!$G$3),J329,D329)</f>
        <v>2003.58</v>
      </c>
      <c r="P329" s="655">
        <f>+IF(OR($Q329=Parametres!$G$2,$Q329=Parametres!$G$3),K329,E329)</f>
        <v>21242.6</v>
      </c>
      <c r="Q329" s="654" t="str">
        <f t="shared" si="183"/>
        <v>7-Dépenses</v>
      </c>
      <c r="R329" s="653" t="str">
        <f t="shared" si="184"/>
        <v>6159</v>
      </c>
      <c r="S329" s="654" t="str">
        <f t="shared" si="185"/>
        <v>_</v>
      </c>
      <c r="T329" s="656" t="str">
        <f>+VLOOKUP($L329,Data_Validation!$A:$D,1,0)</f>
        <v>6259</v>
      </c>
      <c r="U329" s="656" t="str">
        <f>+VLOOKUP($L329,Data_Validation!$A:$D,3,0)</f>
        <v>Véhicules usagés</v>
      </c>
      <c r="V329" s="656" t="str">
        <f>+VLOOKUP($L329,Data_Validation!$A:$D,4,0)</f>
        <v>Services extérieurs</v>
      </c>
      <c r="W329" s="656" t="str">
        <f>+VLOOKUP($L329,Data_Validation!$A:$E,5,0)</f>
        <v>$</v>
      </c>
      <c r="X329" s="656">
        <f>+VLOOKUP($L329,Data_Validation!$A:$F,6,0)</f>
        <v>0</v>
      </c>
    </row>
    <row r="330" spans="1:24" ht="15" customHeight="1">
      <c r="A330" s="1218" t="s">
        <v>1211</v>
      </c>
      <c r="B330" s="1218" t="s">
        <v>2406</v>
      </c>
      <c r="C330" s="1220">
        <v>30706.560000000001</v>
      </c>
      <c r="D330" s="1220">
        <v>5117.76</v>
      </c>
      <c r="E330" s="1220">
        <v>35824.32</v>
      </c>
      <c r="F330" s="1218" t="s">
        <v>1154</v>
      </c>
      <c r="G330" s="1218" t="s">
        <v>1212</v>
      </c>
      <c r="H330" s="1218" t="s">
        <v>3950</v>
      </c>
      <c r="I330" s="663"/>
      <c r="J330" s="663"/>
      <c r="K330" s="663"/>
      <c r="L330" s="653" t="str">
        <f t="shared" si="181"/>
        <v>6261</v>
      </c>
      <c r="M330" s="654" t="str">
        <f t="shared" si="182"/>
        <v>DEPRECIATION EQUIP. &amp; FIXTURES</v>
      </c>
      <c r="N330" s="655">
        <f>+IF(OR($Q330=Parametres!$G$2,$Q330=Parametres!$G$3),I330,C330)</f>
        <v>30706.560000000001</v>
      </c>
      <c r="O330" s="655">
        <f>+IF(OR($Q330=Parametres!$G$2,$Q330=Parametres!$G$3),J330,D330)</f>
        <v>5117.76</v>
      </c>
      <c r="P330" s="655">
        <f>+IF(OR($Q330=Parametres!$G$2,$Q330=Parametres!$G$3),K330,E330)</f>
        <v>35824.32</v>
      </c>
      <c r="Q330" s="654" t="str">
        <f t="shared" si="183"/>
        <v>7-Dépenses</v>
      </c>
      <c r="R330" s="653" t="str">
        <f t="shared" si="184"/>
        <v>6161</v>
      </c>
      <c r="S330" s="654" t="str">
        <f t="shared" si="185"/>
        <v>_</v>
      </c>
      <c r="T330" s="656" t="str">
        <f>+VLOOKUP($L330,Data_Validation!$A:$D,1,0)</f>
        <v>6261</v>
      </c>
      <c r="U330" s="656" t="str">
        <f>+VLOOKUP($L330,Data_Validation!$A:$D,3,0)</f>
        <v>Véhicules usagés</v>
      </c>
      <c r="V330" s="656" t="str">
        <f>+VLOOKUP($L330,Data_Validation!$A:$D,4,0)</f>
        <v>Amortissement</v>
      </c>
      <c r="W330" s="656" t="str">
        <f>+VLOOKUP($L330,Data_Validation!$A:$E,5,0)</f>
        <v>$</v>
      </c>
      <c r="X330" s="656">
        <f>+VLOOKUP($L330,Data_Validation!$A:$F,6,0)</f>
        <v>0</v>
      </c>
    </row>
    <row r="331" spans="1:24" ht="15" customHeight="1">
      <c r="A331" s="1218" t="s">
        <v>1235</v>
      </c>
      <c r="B331" s="1218" t="s">
        <v>2412</v>
      </c>
      <c r="C331" s="1220">
        <v>5115.75</v>
      </c>
      <c r="D331" s="1220">
        <v>590.55999999999995</v>
      </c>
      <c r="E331" s="1220">
        <v>5706.31</v>
      </c>
      <c r="F331" s="1218" t="s">
        <v>1154</v>
      </c>
      <c r="G331" s="1218" t="s">
        <v>1214</v>
      </c>
      <c r="H331" s="1218" t="s">
        <v>3950</v>
      </c>
      <c r="I331" s="663"/>
      <c r="J331" s="663"/>
      <c r="K331" s="663"/>
      <c r="L331" s="653" t="str">
        <f t="shared" si="181"/>
        <v>6281</v>
      </c>
      <c r="M331" s="654" t="str">
        <f t="shared" si="182"/>
        <v>CHAUFFAGE,ELECTRICITE,EAU-USAGE</v>
      </c>
      <c r="N331" s="655">
        <f>+IF(OR($Q331=Parametres!$G$2,$Q331=Parametres!$G$3),I331,C331)</f>
        <v>5115.75</v>
      </c>
      <c r="O331" s="655">
        <f>+IF(OR($Q331=Parametres!$G$2,$Q331=Parametres!$G$3),J331,D331)</f>
        <v>590.55999999999995</v>
      </c>
      <c r="P331" s="655">
        <f>+IF(OR($Q331=Parametres!$G$2,$Q331=Parametres!$G$3),K331,E331)</f>
        <v>5706.31</v>
      </c>
      <c r="Q331" s="654" t="str">
        <f t="shared" si="183"/>
        <v>7-Dépenses</v>
      </c>
      <c r="R331" s="653" t="str">
        <f t="shared" si="184"/>
        <v>6181</v>
      </c>
      <c r="S331" s="654" t="str">
        <f t="shared" si="185"/>
        <v>_</v>
      </c>
      <c r="T331" s="656" t="str">
        <f>+VLOOKUP($L331,Data_Validation!$A:$D,1,0)</f>
        <v>6281</v>
      </c>
      <c r="U331" s="656" t="str">
        <f>+VLOOKUP($L331,Data_Validation!$A:$D,3,0)</f>
        <v>Véhicules usagés</v>
      </c>
      <c r="V331" s="656" t="str">
        <f>+VLOOKUP($L331,Data_Validation!$A:$D,4,0)</f>
        <v>Chauffage, éclairage</v>
      </c>
      <c r="W331" s="656" t="str">
        <f>+VLOOKUP($L331,Data_Validation!$A:$E,5,0)</f>
        <v>$</v>
      </c>
      <c r="X331" s="656">
        <f>+VLOOKUP($L331,Data_Validation!$A:$F,6,0)</f>
        <v>0</v>
      </c>
    </row>
    <row r="332" spans="1:24" ht="15" customHeight="1">
      <c r="A332" s="1218" t="s">
        <v>1236</v>
      </c>
      <c r="B332" s="1218" t="s">
        <v>2415</v>
      </c>
      <c r="C332" s="1220">
        <v>25920</v>
      </c>
      <c r="D332" s="1220">
        <v>4320</v>
      </c>
      <c r="E332" s="1220">
        <v>30240</v>
      </c>
      <c r="F332" s="1218" t="s">
        <v>1154</v>
      </c>
      <c r="G332" s="1218" t="s">
        <v>1216</v>
      </c>
      <c r="H332" s="1218" t="s">
        <v>3950</v>
      </c>
      <c r="I332" s="663"/>
      <c r="J332" s="663"/>
      <c r="K332" s="663"/>
      <c r="L332" s="653" t="str">
        <f t="shared" si="181"/>
        <v>6282</v>
      </c>
      <c r="M332" s="654" t="str">
        <f t="shared" si="182"/>
        <v>LOYER - USAGE</v>
      </c>
      <c r="N332" s="655">
        <f>+IF(OR($Q332=Parametres!$G$2,$Q332=Parametres!$G$3),I332,C332)</f>
        <v>25920</v>
      </c>
      <c r="O332" s="655">
        <f>+IF(OR($Q332=Parametres!$G$2,$Q332=Parametres!$G$3),J332,D332)</f>
        <v>4320</v>
      </c>
      <c r="P332" s="655">
        <f>+IF(OR($Q332=Parametres!$G$2,$Q332=Parametres!$G$3),K332,E332)</f>
        <v>30240</v>
      </c>
      <c r="Q332" s="654" t="str">
        <f t="shared" si="183"/>
        <v>7-Dépenses</v>
      </c>
      <c r="R332" s="653" t="str">
        <f t="shared" si="184"/>
        <v>6182</v>
      </c>
      <c r="S332" s="654" t="str">
        <f t="shared" si="185"/>
        <v>_</v>
      </c>
      <c r="T332" s="656" t="str">
        <f>+VLOOKUP($L332,Data_Validation!$A:$D,1,0)</f>
        <v>6282</v>
      </c>
      <c r="U332" s="656" t="str">
        <f>+VLOOKUP($L332,Data_Validation!$A:$D,3,0)</f>
        <v>Véhicules usagés</v>
      </c>
      <c r="V332" s="656" t="str">
        <f>+VLOOKUP($L332,Data_Validation!$A:$D,4,0)</f>
        <v>Loyer</v>
      </c>
      <c r="W332" s="656" t="str">
        <f>+VLOOKUP($L332,Data_Validation!$A:$E,5,0)</f>
        <v>$</v>
      </c>
      <c r="X332" s="656">
        <f>+VLOOKUP($L332,Data_Validation!$A:$F,6,0)</f>
        <v>0</v>
      </c>
    </row>
    <row r="333" spans="1:24" ht="15.75" customHeight="1">
      <c r="A333" s="1218" t="s">
        <v>1237</v>
      </c>
      <c r="B333" s="1218" t="s">
        <v>2418</v>
      </c>
      <c r="C333" s="1220">
        <v>3127.86</v>
      </c>
      <c r="D333" s="1220">
        <v>521.30999999999995</v>
      </c>
      <c r="E333" s="1220">
        <v>3649.17</v>
      </c>
      <c r="F333" s="1218" t="s">
        <v>1154</v>
      </c>
      <c r="G333" s="1218" t="s">
        <v>1218</v>
      </c>
      <c r="H333" s="1218" t="s">
        <v>3950</v>
      </c>
      <c r="I333" s="652"/>
      <c r="J333" s="652"/>
      <c r="K333" s="652"/>
      <c r="L333" s="653" t="str">
        <f t="shared" si="181"/>
        <v>6286</v>
      </c>
      <c r="M333" s="654" t="str">
        <f t="shared" si="182"/>
        <v>ASSURANCE BATISSE &amp; AMEL.-USAGE</v>
      </c>
      <c r="N333" s="655">
        <f>+IF(OR($Q333=Parametres!$G$2,$Q333=Parametres!$G$3),I333,C333)</f>
        <v>3127.86</v>
      </c>
      <c r="O333" s="655">
        <f>+IF(OR($Q333=Parametres!$G$2,$Q333=Parametres!$G$3),J333,D333)</f>
        <v>521.30999999999995</v>
      </c>
      <c r="P333" s="655">
        <f>+IF(OR($Q333=Parametres!$G$2,$Q333=Parametres!$G$3),K333,E333)</f>
        <v>3649.17</v>
      </c>
      <c r="Q333" s="654" t="str">
        <f t="shared" si="183"/>
        <v>7-Dépenses</v>
      </c>
      <c r="R333" s="653" t="str">
        <f t="shared" si="184"/>
        <v>6186</v>
      </c>
      <c r="S333" s="654" t="str">
        <f t="shared" si="185"/>
        <v>_</v>
      </c>
      <c r="T333" s="656" t="str">
        <f>+VLOOKUP($L333,Data_Validation!$A:$D,1,0)</f>
        <v>6286</v>
      </c>
      <c r="U333" s="656" t="str">
        <f>+VLOOKUP($L333,Data_Validation!$A:$D,3,0)</f>
        <v>Véhicules usagés</v>
      </c>
      <c r="V333" s="656" t="str">
        <f>+VLOOKUP($L333,Data_Validation!$A:$D,4,0)</f>
        <v>Assurances</v>
      </c>
      <c r="W333" s="656" t="str">
        <f>+VLOOKUP($L333,Data_Validation!$A:$E,5,0)</f>
        <v>$</v>
      </c>
      <c r="X333" s="656">
        <f>+VLOOKUP($L333,Data_Validation!$A:$F,6,0)</f>
        <v>0</v>
      </c>
    </row>
    <row r="334" spans="1:24" ht="15.75" customHeight="1">
      <c r="A334" s="1218" t="s">
        <v>1238</v>
      </c>
      <c r="B334" s="1218" t="s">
        <v>2421</v>
      </c>
      <c r="C334" s="1220">
        <v>3904.56</v>
      </c>
      <c r="D334" s="1220">
        <v>650.76</v>
      </c>
      <c r="E334" s="1220">
        <v>4555.32</v>
      </c>
      <c r="F334" s="1218" t="s">
        <v>1154</v>
      </c>
      <c r="G334" s="1218" t="s">
        <v>1220</v>
      </c>
      <c r="H334" s="1218" t="s">
        <v>3950</v>
      </c>
      <c r="I334" s="663"/>
      <c r="J334" s="663"/>
      <c r="K334" s="663"/>
      <c r="L334" s="653" t="str">
        <f t="shared" si="181"/>
        <v>6287</v>
      </c>
      <c r="M334" s="654" t="str">
        <f t="shared" si="182"/>
        <v>TAXES FONCIERES - USAGE</v>
      </c>
      <c r="N334" s="655">
        <f>+IF(OR($Q334=Parametres!$G$2,$Q334=Parametres!$G$3),I334,C334)</f>
        <v>3904.56</v>
      </c>
      <c r="O334" s="655">
        <f>+IF(OR($Q334=Parametres!$G$2,$Q334=Parametres!$G$3),J334,D334)</f>
        <v>650.76</v>
      </c>
      <c r="P334" s="655">
        <f>+IF(OR($Q334=Parametres!$G$2,$Q334=Parametres!$G$3),K334,E334)</f>
        <v>4555.32</v>
      </c>
      <c r="Q334" s="654" t="str">
        <f t="shared" si="183"/>
        <v>7-Dépenses</v>
      </c>
      <c r="R334" s="653" t="str">
        <f t="shared" si="184"/>
        <v>6187</v>
      </c>
      <c r="S334" s="654" t="str">
        <f t="shared" si="185"/>
        <v>_</v>
      </c>
      <c r="T334" s="656" t="str">
        <f>+VLOOKUP($L334,Data_Validation!$A:$D,1,0)</f>
        <v>6287</v>
      </c>
      <c r="U334" s="656" t="str">
        <f>+VLOOKUP($L334,Data_Validation!$A:$D,3,0)</f>
        <v>Véhicules usagés</v>
      </c>
      <c r="V334" s="656" t="str">
        <f>+VLOOKUP($L334,Data_Validation!$A:$D,4,0)</f>
        <v>Taxes foncières</v>
      </c>
      <c r="W334" s="656" t="str">
        <f>+VLOOKUP($L334,Data_Validation!$A:$E,5,0)</f>
        <v>$</v>
      </c>
      <c r="X334" s="656">
        <f>+VLOOKUP($L334,Data_Validation!$A:$F,6,0)</f>
        <v>0</v>
      </c>
    </row>
    <row r="335" spans="1:24" ht="15" customHeight="1">
      <c r="A335" s="1218" t="s">
        <v>1239</v>
      </c>
      <c r="B335" s="1218" t="s">
        <v>2424</v>
      </c>
      <c r="C335" s="1220">
        <v>2910.48</v>
      </c>
      <c r="D335" s="1220">
        <v>433.08</v>
      </c>
      <c r="E335" s="1220">
        <v>3343.56</v>
      </c>
      <c r="F335" s="1218" t="s">
        <v>1154</v>
      </c>
      <c r="G335" s="1218" t="s">
        <v>1222</v>
      </c>
      <c r="H335" s="1218" t="s">
        <v>3950</v>
      </c>
      <c r="I335" s="652"/>
      <c r="J335" s="652"/>
      <c r="K335" s="652"/>
      <c r="L335" s="653" t="str">
        <f t="shared" si="181"/>
        <v>6293</v>
      </c>
      <c r="M335" s="654" t="str">
        <f t="shared" si="182"/>
        <v>AUTRE TAXES - USAGES</v>
      </c>
      <c r="N335" s="655">
        <f>+IF(OR($Q335=Parametres!$G$2,$Q335=Parametres!$G$3),I335,C335)</f>
        <v>2910.48</v>
      </c>
      <c r="O335" s="655">
        <f>+IF(OR($Q335=Parametres!$G$2,$Q335=Parametres!$G$3),J335,D335)</f>
        <v>433.08</v>
      </c>
      <c r="P335" s="655">
        <f>+IF(OR($Q335=Parametres!$G$2,$Q335=Parametres!$G$3),K335,E335)</f>
        <v>3343.56</v>
      </c>
      <c r="Q335" s="654" t="str">
        <f t="shared" si="183"/>
        <v>7-Dépenses</v>
      </c>
      <c r="R335" s="653" t="str">
        <f t="shared" si="184"/>
        <v>6193</v>
      </c>
      <c r="S335" s="654" t="str">
        <f t="shared" si="185"/>
        <v>_</v>
      </c>
      <c r="T335" s="656" t="str">
        <f>+VLOOKUP($L335,Data_Validation!$A:$D,1,0)</f>
        <v>6293</v>
      </c>
      <c r="U335" s="656" t="str">
        <f>+VLOOKUP($L335,Data_Validation!$A:$D,3,0)</f>
        <v>Véhicules usagés</v>
      </c>
      <c r="V335" s="656" t="str">
        <f>+VLOOKUP($L335,Data_Validation!$A:$D,4,0)</f>
        <v>Taxes d`affaires</v>
      </c>
      <c r="W335" s="656" t="str">
        <f>+VLOOKUP($L335,Data_Validation!$A:$E,5,0)</f>
        <v>$</v>
      </c>
      <c r="X335" s="656">
        <f>+VLOOKUP($L335,Data_Validation!$A:$F,6,0)</f>
        <v>0</v>
      </c>
    </row>
    <row r="336" spans="1:24" ht="15" customHeight="1">
      <c r="A336" s="1218" t="s">
        <v>1240</v>
      </c>
      <c r="B336" s="1218" t="s">
        <v>2427</v>
      </c>
      <c r="C336" s="1220">
        <v>4794.95</v>
      </c>
      <c r="D336" s="1220">
        <v>1287.99</v>
      </c>
      <c r="E336" s="1220">
        <v>6082.94</v>
      </c>
      <c r="F336" s="1218" t="s">
        <v>1154</v>
      </c>
      <c r="G336" s="1218" t="s">
        <v>1224</v>
      </c>
      <c r="H336" s="1218" t="s">
        <v>3950</v>
      </c>
      <c r="I336" s="652"/>
      <c r="J336" s="652"/>
      <c r="K336" s="652"/>
      <c r="L336" s="653" t="str">
        <f t="shared" si="181"/>
        <v>6294</v>
      </c>
      <c r="M336" s="654" t="str">
        <f t="shared" si="182"/>
        <v>FRAIS PROFESSIONNEL-USAGE</v>
      </c>
      <c r="N336" s="655">
        <f>+IF(OR($Q336=Parametres!$G$2,$Q336=Parametres!$G$3),I336,C336)</f>
        <v>4794.95</v>
      </c>
      <c r="O336" s="655">
        <f>+IF(OR($Q336=Parametres!$G$2,$Q336=Parametres!$G$3),J336,D336)</f>
        <v>1287.99</v>
      </c>
      <c r="P336" s="655">
        <f>+IF(OR($Q336=Parametres!$G$2,$Q336=Parametres!$G$3),K336,E336)</f>
        <v>6082.94</v>
      </c>
      <c r="Q336" s="654" t="str">
        <f t="shared" si="183"/>
        <v>7-Dépenses</v>
      </c>
      <c r="R336" s="653" t="str">
        <f t="shared" si="184"/>
        <v>6194</v>
      </c>
      <c r="S336" s="654" t="str">
        <f t="shared" si="185"/>
        <v>_</v>
      </c>
      <c r="T336" s="656" t="str">
        <f>+VLOOKUP($L336,Data_Validation!$A:$D,1,0)</f>
        <v>6294</v>
      </c>
      <c r="U336" s="656" t="str">
        <f>+VLOOKUP($L336,Data_Validation!$A:$D,3,0)</f>
        <v>Véhicules usagés</v>
      </c>
      <c r="V336" s="656" t="str">
        <f>+VLOOKUP($L336,Data_Validation!$A:$D,4,0)</f>
        <v>Honoraires</v>
      </c>
      <c r="W336" s="656" t="str">
        <f>+VLOOKUP($L336,Data_Validation!$A:$E,5,0)</f>
        <v>$</v>
      </c>
      <c r="X336" s="656">
        <f>+VLOOKUP($L336,Data_Validation!$A:$F,6,0)</f>
        <v>0</v>
      </c>
    </row>
    <row r="337" spans="1:24" ht="15" customHeight="1">
      <c r="A337" s="1218" t="s">
        <v>1241</v>
      </c>
      <c r="B337" s="1218" t="s">
        <v>2430</v>
      </c>
      <c r="C337" s="1220">
        <v>15906.79</v>
      </c>
      <c r="D337" s="1220">
        <v>310.58999999999997</v>
      </c>
      <c r="E337" s="1220">
        <v>16217.38</v>
      </c>
      <c r="F337" s="1218" t="s">
        <v>1154</v>
      </c>
      <c r="G337" s="1218" t="s">
        <v>1242</v>
      </c>
      <c r="H337" s="1218" t="s">
        <v>3950</v>
      </c>
      <c r="I337" s="1201"/>
      <c r="J337" s="1201"/>
      <c r="K337" s="1201"/>
      <c r="L337" s="653" t="str">
        <f t="shared" si="181"/>
        <v>6403</v>
      </c>
      <c r="M337" s="654" t="str">
        <f t="shared" si="182"/>
        <v>RELAT. A LA CLIENTELE &amp; AJUST</v>
      </c>
      <c r="N337" s="655">
        <f>+IF(OR($Q337=Parametres!$G$2,$Q337=Parametres!$G$3),I337,C337)</f>
        <v>15906.79</v>
      </c>
      <c r="O337" s="655">
        <f>+IF(OR($Q337=Parametres!$G$2,$Q337=Parametres!$G$3),J337,D337)</f>
        <v>310.58999999999997</v>
      </c>
      <c r="P337" s="655">
        <f>+IF(OR($Q337=Parametres!$G$2,$Q337=Parametres!$G$3),K337,E337)</f>
        <v>16217.38</v>
      </c>
      <c r="Q337" s="654" t="str">
        <f t="shared" si="183"/>
        <v>7-Dépenses</v>
      </c>
      <c r="R337" s="653" t="str">
        <f t="shared" si="184"/>
        <v>6112</v>
      </c>
      <c r="S337" s="654" t="str">
        <f t="shared" si="185"/>
        <v>_</v>
      </c>
      <c r="T337" s="656" t="str">
        <f>+VLOOKUP($L337,Data_Validation!$A:$D,1,0)</f>
        <v>6403</v>
      </c>
      <c r="U337" s="656" t="str">
        <f>+VLOOKUP($L337,Data_Validation!$A:$D,3,0)</f>
        <v>Service</v>
      </c>
      <c r="V337" s="656" t="str">
        <f>+VLOOKUP($L337,Data_Validation!$A:$D,4,0)</f>
        <v>Service gratuit 2</v>
      </c>
      <c r="W337" s="656" t="str">
        <f>+VLOOKUP($L337,Data_Validation!$A:$E,5,0)</f>
        <v>$</v>
      </c>
      <c r="X337" s="656">
        <f>+VLOOKUP($L337,Data_Validation!$A:$F,6,0)</f>
        <v>0</v>
      </c>
    </row>
    <row r="338" spans="1:24" ht="15.75" customHeight="1">
      <c r="A338" s="1218" t="s">
        <v>1243</v>
      </c>
      <c r="B338" s="1218" t="s">
        <v>2433</v>
      </c>
      <c r="C338" s="1220">
        <v>3474.07</v>
      </c>
      <c r="D338" s="1220">
        <v>51.37</v>
      </c>
      <c r="E338" s="1220">
        <v>3525.44</v>
      </c>
      <c r="F338" s="1218" t="s">
        <v>1154</v>
      </c>
      <c r="G338" s="1218" t="s">
        <v>1242</v>
      </c>
      <c r="H338" s="1218" t="s">
        <v>3950</v>
      </c>
      <c r="I338" s="1201"/>
      <c r="J338" s="1201"/>
      <c r="K338" s="1201"/>
      <c r="L338" s="653" t="str">
        <f t="shared" si="181"/>
        <v>6412</v>
      </c>
      <c r="M338" s="654" t="str">
        <f t="shared" si="182"/>
        <v>AUTORISATION &amp; GAR./VEH. USA</v>
      </c>
      <c r="N338" s="655">
        <f>+IF(OR($Q338=Parametres!$G$2,$Q338=Parametres!$G$3),I338,C338)</f>
        <v>3474.07</v>
      </c>
      <c r="O338" s="659">
        <f>+IF(OR($Q338=Parametres!$G$2,$Q338=Parametres!$G$3),J338,D338)</f>
        <v>51.37</v>
      </c>
      <c r="P338" s="655">
        <f>+IF(OR($Q338=Parametres!$G$2,$Q338=Parametres!$G$3),K338,E338)</f>
        <v>3525.44</v>
      </c>
      <c r="Q338" s="654" t="str">
        <f t="shared" si="183"/>
        <v>7-Dépenses</v>
      </c>
      <c r="R338" s="653" t="str">
        <f t="shared" si="184"/>
        <v>6112</v>
      </c>
      <c r="S338" s="654" t="str">
        <f t="shared" si="185"/>
        <v>_</v>
      </c>
      <c r="T338" s="656" t="str">
        <f>+VLOOKUP($L338,Data_Validation!$A:$D,1,0)</f>
        <v>6412</v>
      </c>
      <c r="U338" s="656" t="str">
        <f>+VLOOKUP($L338,Data_Validation!$A:$D,3,0)</f>
        <v>Service</v>
      </c>
      <c r="V338" s="656" t="str">
        <f>+VLOOKUP($L338,Data_Validation!$A:$D,4,0)</f>
        <v>Service gratuit 2</v>
      </c>
      <c r="W338" s="656" t="str">
        <f>+VLOOKUP($L338,Data_Validation!$A:$E,5,0)</f>
        <v>$</v>
      </c>
      <c r="X338" s="656">
        <f>+VLOOKUP($L338,Data_Validation!$A:$F,6,0)</f>
        <v>0</v>
      </c>
    </row>
    <row r="339" spans="1:24" ht="15" customHeight="1">
      <c r="A339" s="1218" t="s">
        <v>1166</v>
      </c>
      <c r="B339" s="1218" t="s">
        <v>2436</v>
      </c>
      <c r="C339" s="1220">
        <v>86615.33</v>
      </c>
      <c r="D339" s="1220">
        <v>10953.22</v>
      </c>
      <c r="E339" s="1220">
        <v>97568.55</v>
      </c>
      <c r="F339" s="1218" t="s">
        <v>1154</v>
      </c>
      <c r="G339" s="1218" t="s">
        <v>1167</v>
      </c>
      <c r="H339" s="1218" t="s">
        <v>3950</v>
      </c>
      <c r="I339" s="1201"/>
      <c r="J339" s="1201"/>
      <c r="K339" s="1201"/>
      <c r="L339" s="653" t="str">
        <f t="shared" si="181"/>
        <v>6414</v>
      </c>
      <c r="M339" s="654" t="str">
        <f t="shared" si="182"/>
        <v>PUBLICITE</v>
      </c>
      <c r="N339" s="655">
        <f>+IF(OR($Q339=Parametres!$G$2,$Q339=Parametres!$G$3),I339,C339)</f>
        <v>86615.33</v>
      </c>
      <c r="O339" s="655">
        <f>+IF(OR($Q339=Parametres!$G$2,$Q339=Parametres!$G$3),J339,D339)</f>
        <v>10953.22</v>
      </c>
      <c r="P339" s="655">
        <f>+IF(OR($Q339=Parametres!$G$2,$Q339=Parametres!$G$3),K339,E339)</f>
        <v>97568.55</v>
      </c>
      <c r="Q339" s="654" t="str">
        <f t="shared" si="183"/>
        <v>7-Dépenses</v>
      </c>
      <c r="R339" s="653" t="str">
        <f t="shared" si="184"/>
        <v>6114</v>
      </c>
      <c r="S339" s="654" t="str">
        <f t="shared" si="185"/>
        <v>_</v>
      </c>
      <c r="T339" s="656" t="str">
        <f>+VLOOKUP($L339,Data_Validation!$A:$D,1,0)</f>
        <v>6414</v>
      </c>
      <c r="U339" s="656" t="str">
        <f>+VLOOKUP($L339,Data_Validation!$A:$D,3,0)</f>
        <v>Service</v>
      </c>
      <c r="V339" s="656" t="str">
        <f>+VLOOKUP($L339,Data_Validation!$A:$D,4,0)</f>
        <v>Publicité 2</v>
      </c>
      <c r="W339" s="656" t="str">
        <f>+VLOOKUP($L339,Data_Validation!$A:$E,5,0)</f>
        <v>$</v>
      </c>
      <c r="X339" s="656">
        <f>+VLOOKUP($L339,Data_Validation!$A:$F,6,0)</f>
        <v>0</v>
      </c>
    </row>
    <row r="340" spans="1:24" ht="15" customHeight="1">
      <c r="A340" s="1218" t="s">
        <v>1169</v>
      </c>
      <c r="B340" s="1218" t="s">
        <v>2439</v>
      </c>
      <c r="C340" s="1220">
        <v>20221.189999999999</v>
      </c>
      <c r="D340" s="1220">
        <v>2818.87</v>
      </c>
      <c r="E340" s="1220">
        <v>23040.06</v>
      </c>
      <c r="F340" s="1218" t="s">
        <v>1154</v>
      </c>
      <c r="G340" s="1218" t="s">
        <v>1170</v>
      </c>
      <c r="H340" s="1218" t="s">
        <v>3950</v>
      </c>
      <c r="I340" s="1201"/>
      <c r="J340" s="1201"/>
      <c r="K340" s="1201"/>
      <c r="L340" s="653" t="str">
        <f t="shared" si="181"/>
        <v>6421</v>
      </c>
      <c r="M340" s="654" t="str">
        <f t="shared" si="182"/>
        <v>SALAIRES - PROPRIETAIRES</v>
      </c>
      <c r="N340" s="655">
        <f>+IF(OR($Q340=Parametres!$G$2,$Q340=Parametres!$G$3),I340,C340)</f>
        <v>20221.189999999999</v>
      </c>
      <c r="O340" s="659">
        <f>+IF(OR($Q340=Parametres!$G$2,$Q340=Parametres!$G$3),J340,D340)</f>
        <v>2818.87</v>
      </c>
      <c r="P340" s="655">
        <f>+IF(OR($Q340=Parametres!$G$2,$Q340=Parametres!$G$3),K340,E340)</f>
        <v>23040.06</v>
      </c>
      <c r="Q340" s="654" t="str">
        <f t="shared" si="183"/>
        <v>7-Dépenses</v>
      </c>
      <c r="R340" s="653" t="str">
        <f t="shared" si="184"/>
        <v>6121</v>
      </c>
      <c r="S340" s="654" t="str">
        <f t="shared" si="185"/>
        <v>_</v>
      </c>
      <c r="T340" s="656" t="str">
        <f>+VLOOKUP($L340,Data_Validation!$A:$D,1,0)</f>
        <v>6421</v>
      </c>
      <c r="U340" s="656" t="str">
        <f>+VLOOKUP($L340,Data_Validation!$A:$D,3,0)</f>
        <v>Service</v>
      </c>
      <c r="V340" s="656" t="str">
        <f>+VLOOKUP($L340,Data_Validation!$A:$D,4,0)</f>
        <v>Salaires propriétaire</v>
      </c>
      <c r="W340" s="656" t="str">
        <f>+VLOOKUP($L340,Data_Validation!$A:$E,5,0)</f>
        <v>$</v>
      </c>
      <c r="X340" s="656">
        <f>+VLOOKUP($L340,Data_Validation!$A:$F,6,0)</f>
        <v>0</v>
      </c>
    </row>
    <row r="341" spans="1:24" ht="15" customHeight="1">
      <c r="A341" s="1218" t="s">
        <v>1171</v>
      </c>
      <c r="B341" s="1218" t="s">
        <v>2442</v>
      </c>
      <c r="C341" s="1220">
        <v>93140.18</v>
      </c>
      <c r="D341" s="1220">
        <v>13348.82</v>
      </c>
      <c r="E341" s="1220">
        <v>106489</v>
      </c>
      <c r="F341" s="1218" t="s">
        <v>1154</v>
      </c>
      <c r="G341" s="1218" t="s">
        <v>1172</v>
      </c>
      <c r="H341" s="1218" t="s">
        <v>3950</v>
      </c>
      <c r="I341" s="1201"/>
      <c r="J341" s="1201"/>
      <c r="K341" s="1201"/>
      <c r="L341" s="653" t="str">
        <f t="shared" si="181"/>
        <v>6422</v>
      </c>
      <c r="M341" s="654" t="str">
        <f t="shared" si="182"/>
        <v>SAL SUPERVISION / GERANT</v>
      </c>
      <c r="N341" s="655">
        <f>+IF(OR($Q341=Parametres!$G$2,$Q341=Parametres!$G$3),I341,C341)</f>
        <v>93140.18</v>
      </c>
      <c r="O341" s="659">
        <f>+IF(OR($Q341=Parametres!$G$2,$Q341=Parametres!$G$3),J341,D341)</f>
        <v>13348.82</v>
      </c>
      <c r="P341" s="655">
        <f>+IF(OR($Q341=Parametres!$G$2,$Q341=Parametres!$G$3),K341,E341)</f>
        <v>106489</v>
      </c>
      <c r="Q341" s="654" t="str">
        <f t="shared" si="183"/>
        <v>7-Dépenses</v>
      </c>
      <c r="R341" s="653" t="str">
        <f t="shared" si="184"/>
        <v>6122</v>
      </c>
      <c r="S341" s="654" t="str">
        <f t="shared" si="185"/>
        <v>_</v>
      </c>
      <c r="T341" s="656" t="str">
        <f>+VLOOKUP($L341,Data_Validation!$A:$D,1,0)</f>
        <v>6422</v>
      </c>
      <c r="U341" s="656" t="str">
        <f>+VLOOKUP($L341,Data_Validation!$A:$D,3,0)</f>
        <v>Service</v>
      </c>
      <c r="V341" s="656" t="str">
        <f>+VLOOKUP($L341,Data_Validation!$A:$D,4,0)</f>
        <v>Salaires cadres</v>
      </c>
      <c r="W341" s="656" t="str">
        <f>+VLOOKUP($L341,Data_Validation!$A:$E,5,0)</f>
        <v>$</v>
      </c>
      <c r="X341" s="656">
        <f>+VLOOKUP($L341,Data_Validation!$A:$F,6,0)</f>
        <v>0</v>
      </c>
    </row>
    <row r="342" spans="1:24" ht="15" customHeight="1">
      <c r="A342" s="1218" t="s">
        <v>1244</v>
      </c>
      <c r="B342" s="1218" t="s">
        <v>2445</v>
      </c>
      <c r="C342" s="1220">
        <v>49074.59</v>
      </c>
      <c r="D342" s="1220">
        <v>8258.5</v>
      </c>
      <c r="E342" s="1220">
        <v>57333.09</v>
      </c>
      <c r="F342" s="1218" t="s">
        <v>1154</v>
      </c>
      <c r="G342" s="1218" t="s">
        <v>1174</v>
      </c>
      <c r="H342" s="1218" t="s">
        <v>3950</v>
      </c>
      <c r="I342" s="1201"/>
      <c r="J342" s="1201"/>
      <c r="K342" s="1201"/>
      <c r="L342" s="653" t="str">
        <f t="shared" si="181"/>
        <v>6423</v>
      </c>
      <c r="M342" s="654" t="str">
        <f t="shared" si="182"/>
        <v>SAL. &amp; RENUM. CLERICAL</v>
      </c>
      <c r="N342" s="655">
        <f>+IF(OR($Q342=Parametres!$G$2,$Q342=Parametres!$G$3),I342,C342)</f>
        <v>49074.59</v>
      </c>
      <c r="O342" s="655">
        <f>+IF(OR($Q342=Parametres!$G$2,$Q342=Parametres!$G$3),J342,D342)</f>
        <v>8258.5</v>
      </c>
      <c r="P342" s="655">
        <f>+IF(OR($Q342=Parametres!$G$2,$Q342=Parametres!$G$3),K342,E342)</f>
        <v>57333.09</v>
      </c>
      <c r="Q342" s="654" t="str">
        <f t="shared" si="183"/>
        <v>7-Dépenses</v>
      </c>
      <c r="R342" s="653" t="str">
        <f t="shared" si="184"/>
        <v>6123</v>
      </c>
      <c r="S342" s="654" t="str">
        <f t="shared" si="185"/>
        <v>_</v>
      </c>
      <c r="T342" s="656" t="str">
        <f>+VLOOKUP($L342,Data_Validation!$A:$D,1,0)</f>
        <v>6423</v>
      </c>
      <c r="U342" s="656" t="str">
        <f>+VLOOKUP($L342,Data_Validation!$A:$D,3,0)</f>
        <v>Service</v>
      </c>
      <c r="V342" s="656" t="str">
        <f>+VLOOKUP($L342,Data_Validation!$A:$D,4,0)</f>
        <v>Salaires commis</v>
      </c>
      <c r="W342" s="656" t="str">
        <f>+VLOOKUP($L342,Data_Validation!$A:$E,5,0)</f>
        <v>$</v>
      </c>
      <c r="X342" s="656">
        <f>+VLOOKUP($L342,Data_Validation!$A:$F,6,0)</f>
        <v>0</v>
      </c>
    </row>
    <row r="343" spans="1:24" ht="15.75" customHeight="1">
      <c r="A343" s="1218" t="s">
        <v>1175</v>
      </c>
      <c r="B343" s="1218" t="s">
        <v>2448</v>
      </c>
      <c r="C343" s="1220">
        <v>110056.16</v>
      </c>
      <c r="D343" s="1220">
        <v>14236.65</v>
      </c>
      <c r="E343" s="1220">
        <v>124292.81</v>
      </c>
      <c r="F343" s="1218" t="s">
        <v>1154</v>
      </c>
      <c r="G343" s="1218" t="s">
        <v>1176</v>
      </c>
      <c r="H343" s="1218" t="s">
        <v>3950</v>
      </c>
      <c r="I343" s="1201"/>
      <c r="J343" s="1201"/>
      <c r="K343" s="1201"/>
      <c r="L343" s="653" t="str">
        <f t="shared" si="181"/>
        <v>6424</v>
      </c>
      <c r="M343" s="654" t="str">
        <f t="shared" si="182"/>
        <v>SALAIRES &amp; RENUM. - AUTRES</v>
      </c>
      <c r="N343" s="655">
        <f>+IF(OR($Q343=Parametres!$G$2,$Q343=Parametres!$G$3),I343,C343)</f>
        <v>110056.16</v>
      </c>
      <c r="O343" s="655">
        <f>+IF(OR($Q343=Parametres!$G$2,$Q343=Parametres!$G$3),J343,D343)</f>
        <v>14236.65</v>
      </c>
      <c r="P343" s="655">
        <f>+IF(OR($Q343=Parametres!$G$2,$Q343=Parametres!$G$3),K343,E343)</f>
        <v>124292.81</v>
      </c>
      <c r="Q343" s="654" t="str">
        <f t="shared" si="183"/>
        <v>7-Dépenses</v>
      </c>
      <c r="R343" s="653" t="str">
        <f t="shared" si="184"/>
        <v>6124</v>
      </c>
      <c r="S343" s="654" t="str">
        <f t="shared" si="185"/>
        <v>_</v>
      </c>
      <c r="T343" s="656" t="str">
        <f>+VLOOKUP($L343,Data_Validation!$A:$D,1,0)</f>
        <v>6424</v>
      </c>
      <c r="U343" s="656" t="str">
        <f>+VLOOKUP($L343,Data_Validation!$A:$D,3,0)</f>
        <v>Service</v>
      </c>
      <c r="V343" s="656" t="str">
        <f>+VLOOKUP($L343,Data_Validation!$A:$D,4,0)</f>
        <v>Salaires autres</v>
      </c>
      <c r="W343" s="656" t="str">
        <f>+VLOOKUP($L343,Data_Validation!$A:$E,5,0)</f>
        <v>$</v>
      </c>
      <c r="X343" s="656">
        <f>+VLOOKUP($L343,Data_Validation!$A:$F,6,0)</f>
        <v>0</v>
      </c>
    </row>
    <row r="344" spans="1:24" ht="15" customHeight="1">
      <c r="A344" s="1218" t="s">
        <v>1245</v>
      </c>
      <c r="B344" s="1218" t="s">
        <v>2451</v>
      </c>
      <c r="C344" s="1220">
        <v>125900.3</v>
      </c>
      <c r="D344" s="1220">
        <v>23437.83</v>
      </c>
      <c r="E344" s="1220">
        <v>149338.13</v>
      </c>
      <c r="F344" s="1218" t="s">
        <v>1154</v>
      </c>
      <c r="G344" s="1218" t="s">
        <v>1246</v>
      </c>
      <c r="H344" s="1218" t="s">
        <v>3950</v>
      </c>
      <c r="I344" s="1201"/>
      <c r="J344" s="1201"/>
      <c r="K344" s="1201"/>
      <c r="L344" s="653" t="str">
        <f t="shared" si="181"/>
        <v>6425</v>
      </c>
      <c r="M344" s="654" t="str">
        <f t="shared" si="182"/>
        <v>SALAIRE SPECIALISTES</v>
      </c>
      <c r="N344" s="655">
        <f>+IF(OR($Q344=Parametres!$G$2,$Q344=Parametres!$G$3),I344,C344)</f>
        <v>125900.3</v>
      </c>
      <c r="O344" s="659">
        <f>+IF(OR($Q344=Parametres!$G$2,$Q344=Parametres!$G$3),J344,D344)</f>
        <v>23437.83</v>
      </c>
      <c r="P344" s="655">
        <f>+IF(OR($Q344=Parametres!$G$2,$Q344=Parametres!$G$3),K344,E344)</f>
        <v>149338.13</v>
      </c>
      <c r="Q344" s="654" t="str">
        <f t="shared" si="183"/>
        <v>7-Dépenses</v>
      </c>
      <c r="R344" s="653" t="str">
        <f t="shared" si="184"/>
        <v>6125</v>
      </c>
      <c r="S344" s="654" t="str">
        <f t="shared" si="185"/>
        <v>_</v>
      </c>
      <c r="T344" s="656" t="str">
        <f>+VLOOKUP($L344,Data_Validation!$A:$D,1,0)</f>
        <v>6425</v>
      </c>
      <c r="U344" s="656" t="str">
        <f>+VLOOKUP($L344,Data_Validation!$A:$D,3,0)</f>
        <v>Service</v>
      </c>
      <c r="V344" s="656" t="str">
        <f>+VLOOKUP($L344,Data_Validation!$A:$D,4,0)</f>
        <v>Salaires spécialistes</v>
      </c>
      <c r="W344" s="656" t="str">
        <f>+VLOOKUP($L344,Data_Validation!$A:$E,5,0)</f>
        <v>$</v>
      </c>
      <c r="X344" s="656">
        <f>+VLOOKUP($L344,Data_Validation!$A:$F,6,0)</f>
        <v>0</v>
      </c>
    </row>
    <row r="345" spans="1:24" ht="15" customHeight="1">
      <c r="A345" s="1218" t="s">
        <v>1247</v>
      </c>
      <c r="B345" s="1218" t="s">
        <v>2454</v>
      </c>
      <c r="C345" s="1220">
        <v>96178.36</v>
      </c>
      <c r="D345" s="1220">
        <v>15719.95</v>
      </c>
      <c r="E345" s="1220">
        <v>111898.31</v>
      </c>
      <c r="F345" s="1218" t="s">
        <v>1154</v>
      </c>
      <c r="G345" s="1218" t="s">
        <v>1178</v>
      </c>
      <c r="H345" s="1218" t="s">
        <v>3950</v>
      </c>
      <c r="I345" s="1200"/>
      <c r="J345" s="1200"/>
      <c r="K345" s="1200"/>
      <c r="L345" s="653" t="str">
        <f t="shared" si="181"/>
        <v>6429</v>
      </c>
      <c r="M345" s="654" t="str">
        <f t="shared" si="182"/>
        <v>SAL.,VACANCE, &amp; SAL. JOURS FER</v>
      </c>
      <c r="N345" s="655">
        <f>+IF(OR($Q345=Parametres!$G$2,$Q345=Parametres!$G$3),I345,C345)</f>
        <v>96178.36</v>
      </c>
      <c r="O345" s="655">
        <f>+IF(OR($Q345=Parametres!$G$2,$Q345=Parametres!$G$3),J345,D345)</f>
        <v>15719.95</v>
      </c>
      <c r="P345" s="655">
        <f>+IF(OR($Q345=Parametres!$G$2,$Q345=Parametres!$G$3),K345,E345)</f>
        <v>111898.31</v>
      </c>
      <c r="Q345" s="654" t="str">
        <f t="shared" si="183"/>
        <v>7-Dépenses</v>
      </c>
      <c r="R345" s="653" t="str">
        <f t="shared" si="184"/>
        <v>6129</v>
      </c>
      <c r="S345" s="654" t="str">
        <f t="shared" si="185"/>
        <v>_</v>
      </c>
      <c r="T345" s="656" t="str">
        <f>+VLOOKUP($L345,Data_Validation!$A:$D,1,0)</f>
        <v>6429</v>
      </c>
      <c r="U345" s="656" t="str">
        <f>+VLOOKUP($L345,Data_Validation!$A:$D,3,0)</f>
        <v>Service</v>
      </c>
      <c r="V345" s="656" t="str">
        <f>+VLOOKUP($L345,Data_Validation!$A:$D,4,0)</f>
        <v>Salaires en absences</v>
      </c>
      <c r="W345" s="656" t="str">
        <f>+VLOOKUP($L345,Data_Validation!$A:$E,5,0)</f>
        <v>$</v>
      </c>
      <c r="X345" s="656">
        <f>+VLOOKUP($L345,Data_Validation!$A:$F,6,0)</f>
        <v>0</v>
      </c>
    </row>
    <row r="346" spans="1:24" ht="15" customHeight="1">
      <c r="A346" s="1218" t="s">
        <v>1179</v>
      </c>
      <c r="B346" s="1218" t="s">
        <v>2457</v>
      </c>
      <c r="C346" s="1220">
        <v>25101.64</v>
      </c>
      <c r="D346" s="1220">
        <v>4356.6099999999997</v>
      </c>
      <c r="E346" s="1220">
        <v>29458.25</v>
      </c>
      <c r="F346" s="1218" t="s">
        <v>1154</v>
      </c>
      <c r="G346" s="1218" t="s">
        <v>1180</v>
      </c>
      <c r="H346" s="1218" t="s">
        <v>3950</v>
      </c>
      <c r="I346" s="1200"/>
      <c r="J346" s="1200"/>
      <c r="K346" s="1200"/>
      <c r="L346" s="653" t="str">
        <f t="shared" si="181"/>
        <v>6431</v>
      </c>
      <c r="M346" s="654" t="str">
        <f t="shared" si="182"/>
        <v>CSST</v>
      </c>
      <c r="N346" s="655">
        <f>+IF(OR($Q346=Parametres!$G$2,$Q346=Parametres!$G$3),I346,C346)</f>
        <v>25101.64</v>
      </c>
      <c r="O346" s="655">
        <f>+IF(OR($Q346=Parametres!$G$2,$Q346=Parametres!$G$3),J346,D346)</f>
        <v>4356.6099999999997</v>
      </c>
      <c r="P346" s="655">
        <f>+IF(OR($Q346=Parametres!$G$2,$Q346=Parametres!$G$3),K346,E346)</f>
        <v>29458.25</v>
      </c>
      <c r="Q346" s="654" t="str">
        <f t="shared" si="183"/>
        <v>7-Dépenses</v>
      </c>
      <c r="R346" s="653" t="str">
        <f t="shared" si="184"/>
        <v>6131</v>
      </c>
      <c r="S346" s="654" t="str">
        <f t="shared" si="185"/>
        <v>_</v>
      </c>
      <c r="T346" s="656" t="str">
        <f>+VLOOKUP($L346,Data_Validation!$A:$D,1,0)</f>
        <v>6431</v>
      </c>
      <c r="U346" s="656" t="str">
        <f>+VLOOKUP($L346,Data_Validation!$A:$D,3,0)</f>
        <v>Service</v>
      </c>
      <c r="V346" s="656" t="str">
        <f>+VLOOKUP($L346,Data_Validation!$A:$D,4,0)</f>
        <v>Csst</v>
      </c>
      <c r="W346" s="656" t="str">
        <f>+VLOOKUP($L346,Data_Validation!$A:$E,5,0)</f>
        <v>$</v>
      </c>
      <c r="X346" s="656">
        <f>+VLOOKUP($L346,Data_Validation!$A:$F,6,0)</f>
        <v>0</v>
      </c>
    </row>
    <row r="347" spans="1:24" ht="15.75" customHeight="1">
      <c r="A347" s="1218" t="s">
        <v>1181</v>
      </c>
      <c r="B347" s="1218" t="s">
        <v>2460</v>
      </c>
      <c r="C347" s="1220">
        <v>117648.22</v>
      </c>
      <c r="D347" s="1220">
        <v>19588.689999999999</v>
      </c>
      <c r="E347" s="1220">
        <v>137236.91</v>
      </c>
      <c r="F347" s="1218" t="s">
        <v>1154</v>
      </c>
      <c r="G347" s="1218" t="s">
        <v>1182</v>
      </c>
      <c r="H347" s="1218" t="s">
        <v>3950</v>
      </c>
      <c r="I347" s="1200"/>
      <c r="J347" s="1200"/>
      <c r="K347" s="1200"/>
      <c r="L347" s="653" t="str">
        <f t="shared" si="181"/>
        <v>6432</v>
      </c>
      <c r="M347" s="654" t="str">
        <f t="shared" si="182"/>
        <v>RRQ RAMQ AC</v>
      </c>
      <c r="N347" s="655">
        <f>+IF(OR($Q347=Parametres!$G$2,$Q347=Parametres!$G$3),I347,C347)</f>
        <v>117648.22</v>
      </c>
      <c r="O347" s="655">
        <f>+IF(OR($Q347=Parametres!$G$2,$Q347=Parametres!$G$3),J347,D347)</f>
        <v>19588.689999999999</v>
      </c>
      <c r="P347" s="655">
        <f>+IF(OR($Q347=Parametres!$G$2,$Q347=Parametres!$G$3),K347,E347)</f>
        <v>137236.91</v>
      </c>
      <c r="Q347" s="654" t="str">
        <f t="shared" si="183"/>
        <v>7-Dépenses</v>
      </c>
      <c r="R347" s="653" t="str">
        <f t="shared" si="184"/>
        <v>6132</v>
      </c>
      <c r="S347" s="654" t="str">
        <f t="shared" si="185"/>
        <v>_</v>
      </c>
      <c r="T347" s="656" t="str">
        <f>+VLOOKUP($L347,Data_Validation!$A:$D,1,0)</f>
        <v>6432</v>
      </c>
      <c r="U347" s="656" t="str">
        <f>+VLOOKUP($L347,Data_Validation!$A:$D,3,0)</f>
        <v>Service</v>
      </c>
      <c r="V347" s="656" t="str">
        <f>+VLOOKUP($L347,Data_Validation!$A:$D,4,0)</f>
        <v>Déduction à la source</v>
      </c>
      <c r="W347" s="656" t="str">
        <f>+VLOOKUP($L347,Data_Validation!$A:$E,5,0)</f>
        <v>$</v>
      </c>
      <c r="X347" s="656">
        <f>+VLOOKUP($L347,Data_Validation!$A:$F,6,0)</f>
        <v>0</v>
      </c>
    </row>
    <row r="348" spans="1:24" ht="15" customHeight="1">
      <c r="A348" s="1218" t="s">
        <v>1248</v>
      </c>
      <c r="B348" s="1218" t="s">
        <v>2463</v>
      </c>
      <c r="C348" s="1220">
        <v>29939.3</v>
      </c>
      <c r="D348" s="1220">
        <v>4545.6000000000004</v>
      </c>
      <c r="E348" s="1220">
        <v>34484.9</v>
      </c>
      <c r="F348" s="1218" t="s">
        <v>1154</v>
      </c>
      <c r="G348" s="1218" t="s">
        <v>1184</v>
      </c>
      <c r="H348" s="1218" t="s">
        <v>3950</v>
      </c>
      <c r="I348" s="1200"/>
      <c r="J348" s="1200"/>
      <c r="K348" s="1200"/>
      <c r="L348" s="653" t="str">
        <f t="shared" si="181"/>
        <v>6433</v>
      </c>
      <c r="M348" s="654" t="str">
        <f t="shared" si="182"/>
        <v>FOND PENSION - SERVICE</v>
      </c>
      <c r="N348" s="655">
        <f>+IF(OR($Q348=Parametres!$G$2,$Q348=Parametres!$G$3),I348,C348)</f>
        <v>29939.3</v>
      </c>
      <c r="O348" s="659">
        <f>+IF(OR($Q348=Parametres!$G$2,$Q348=Parametres!$G$3),J348,D348)</f>
        <v>4545.6000000000004</v>
      </c>
      <c r="P348" s="655">
        <f>+IF(OR($Q348=Parametres!$G$2,$Q348=Parametres!$G$3),K348,E348)</f>
        <v>34484.9</v>
      </c>
      <c r="Q348" s="654" t="str">
        <f t="shared" si="183"/>
        <v>7-Dépenses</v>
      </c>
      <c r="R348" s="653" t="str">
        <f t="shared" si="184"/>
        <v>6133</v>
      </c>
      <c r="S348" s="654" t="str">
        <f t="shared" si="185"/>
        <v>_</v>
      </c>
      <c r="T348" s="656" t="str">
        <f>+VLOOKUP($L348,Data_Validation!$A:$D,1,0)</f>
        <v>6433</v>
      </c>
      <c r="U348" s="656" t="str">
        <f>+VLOOKUP($L348,Data_Validation!$A:$D,3,0)</f>
        <v>Service</v>
      </c>
      <c r="V348" s="656" t="str">
        <f>+VLOOKUP($L348,Data_Validation!$A:$D,4,0)</f>
        <v>Bénéfices marginaux</v>
      </c>
      <c r="W348" s="656" t="str">
        <f>+VLOOKUP($L348,Data_Validation!$A:$E,5,0)</f>
        <v>$</v>
      </c>
      <c r="X348" s="656">
        <f>+VLOOKUP($L348,Data_Validation!$A:$F,6,0)</f>
        <v>0</v>
      </c>
    </row>
    <row r="349" spans="1:24" ht="15" customHeight="1">
      <c r="A349" s="1218" t="s">
        <v>1231</v>
      </c>
      <c r="B349" s="1218" t="s">
        <v>2466</v>
      </c>
      <c r="C349" s="1220">
        <v>30486.03</v>
      </c>
      <c r="D349" s="1220">
        <v>4818.3599999999997</v>
      </c>
      <c r="E349" s="1220">
        <v>35304.39</v>
      </c>
      <c r="F349" s="1218" t="s">
        <v>1154</v>
      </c>
      <c r="G349" s="1218" t="s">
        <v>1186</v>
      </c>
      <c r="H349" s="1218" t="s">
        <v>3950</v>
      </c>
      <c r="I349" s="1200"/>
      <c r="J349" s="1200"/>
      <c r="K349" s="1200"/>
      <c r="L349" s="653" t="str">
        <f t="shared" si="181"/>
        <v>6439</v>
      </c>
      <c r="M349" s="654" t="str">
        <f t="shared" si="182"/>
        <v>ASSURANCE GROUPE</v>
      </c>
      <c r="N349" s="655">
        <f>+IF(OR($Q349=Parametres!$G$2,$Q349=Parametres!$G$3),I349,C349)</f>
        <v>30486.03</v>
      </c>
      <c r="O349" s="655">
        <f>+IF(OR($Q349=Parametres!$G$2,$Q349=Parametres!$G$3),J349,D349)</f>
        <v>4818.3599999999997</v>
      </c>
      <c r="P349" s="655">
        <f>+IF(OR($Q349=Parametres!$G$2,$Q349=Parametres!$G$3),K349,E349)</f>
        <v>35304.39</v>
      </c>
      <c r="Q349" s="654" t="str">
        <f t="shared" si="183"/>
        <v>7-Dépenses</v>
      </c>
      <c r="R349" s="653" t="str">
        <f t="shared" si="184"/>
        <v>6139</v>
      </c>
      <c r="S349" s="654" t="str">
        <f t="shared" si="185"/>
        <v>_</v>
      </c>
      <c r="T349" s="656" t="str">
        <f>+VLOOKUP($L349,Data_Validation!$A:$D,1,0)</f>
        <v>6439</v>
      </c>
      <c r="U349" s="656" t="str">
        <f>+VLOOKUP($L349,Data_Validation!$A:$D,3,0)</f>
        <v>Service</v>
      </c>
      <c r="V349" s="656" t="str">
        <f>+VLOOKUP($L349,Data_Validation!$A:$D,4,0)</f>
        <v>Bénéfices marginaux</v>
      </c>
      <c r="W349" s="656" t="str">
        <f>+VLOOKUP($L349,Data_Validation!$A:$E,5,0)</f>
        <v>$</v>
      </c>
      <c r="X349" s="656">
        <f>+VLOOKUP($L349,Data_Validation!$A:$F,6,0)</f>
        <v>0</v>
      </c>
    </row>
    <row r="350" spans="1:24" ht="15" customHeight="1">
      <c r="A350" s="1218" t="s">
        <v>1249</v>
      </c>
      <c r="B350" s="1218" t="s">
        <v>2472</v>
      </c>
      <c r="C350" s="1220">
        <v>2579.66</v>
      </c>
      <c r="D350" s="1220">
        <v>940.1</v>
      </c>
      <c r="E350" s="1220">
        <v>3519.76</v>
      </c>
      <c r="F350" s="1218" t="s">
        <v>1154</v>
      </c>
      <c r="G350" s="1218" t="s">
        <v>1242</v>
      </c>
      <c r="H350" s="1218" t="s">
        <v>3950</v>
      </c>
      <c r="I350" s="1200"/>
      <c r="J350" s="1200"/>
      <c r="K350" s="1200"/>
      <c r="L350" s="653" t="str">
        <f t="shared" si="181"/>
        <v>6441</v>
      </c>
      <c r="M350" s="654" t="str">
        <f t="shared" si="182"/>
        <v>RETOURS</v>
      </c>
      <c r="N350" s="655">
        <f>+IF(OR($Q350=Parametres!$G$2,$Q350=Parametres!$G$3),I350,C350)</f>
        <v>2579.66</v>
      </c>
      <c r="O350" s="659">
        <f>+IF(OR($Q350=Parametres!$G$2,$Q350=Parametres!$G$3),J350,D350)</f>
        <v>940.1</v>
      </c>
      <c r="P350" s="655">
        <f>+IF(OR($Q350=Parametres!$G$2,$Q350=Parametres!$G$3),K350,E350)</f>
        <v>3519.76</v>
      </c>
      <c r="Q350" s="654" t="str">
        <f t="shared" si="183"/>
        <v>7-Dépenses</v>
      </c>
      <c r="R350" s="653" t="str">
        <f t="shared" si="184"/>
        <v>6112</v>
      </c>
      <c r="S350" s="654" t="str">
        <f t="shared" si="185"/>
        <v>_</v>
      </c>
      <c r="T350" s="656" t="str">
        <f>+VLOOKUP($L350,Data_Validation!$A:$D,1,0)</f>
        <v>6441</v>
      </c>
      <c r="U350" s="656" t="str">
        <f>+VLOOKUP($L350,Data_Validation!$A:$D,3,0)</f>
        <v>Service</v>
      </c>
      <c r="V350" s="656" t="str">
        <f>+VLOOKUP($L350,Data_Validation!$A:$D,4,0)</f>
        <v>Service gratuit 2</v>
      </c>
      <c r="W350" s="656" t="str">
        <f>+VLOOKUP($L350,Data_Validation!$A:$E,5,0)</f>
        <v>$</v>
      </c>
      <c r="X350" s="656">
        <f>+VLOOKUP($L350,Data_Validation!$A:$F,6,0)</f>
        <v>0</v>
      </c>
    </row>
    <row r="351" spans="1:24" ht="15" customHeight="1">
      <c r="A351" s="1218" t="s">
        <v>1187</v>
      </c>
      <c r="B351" s="1218" t="s">
        <v>2475</v>
      </c>
      <c r="C351" s="1220">
        <v>29935.37</v>
      </c>
      <c r="D351" s="1220">
        <v>3095.58</v>
      </c>
      <c r="E351" s="1220">
        <v>33030.949999999997</v>
      </c>
      <c r="F351" s="1218" t="s">
        <v>1154</v>
      </c>
      <c r="G351" s="1218" t="s">
        <v>1188</v>
      </c>
      <c r="H351" s="1218" t="s">
        <v>3950</v>
      </c>
      <c r="I351" s="1200"/>
      <c r="J351" s="1200"/>
      <c r="K351" s="1200"/>
      <c r="L351" s="653" t="str">
        <f t="shared" si="181"/>
        <v>6442</v>
      </c>
      <c r="M351" s="654" t="str">
        <f t="shared" si="182"/>
        <v>FOURNITURES &amp; PETITS OUTILS</v>
      </c>
      <c r="N351" s="655">
        <f>+IF(OR($Q351=Parametres!$G$2,$Q351=Parametres!$G$3),I351,C351)</f>
        <v>29935.37</v>
      </c>
      <c r="O351" s="655">
        <f>+IF(OR($Q351=Parametres!$G$2,$Q351=Parametres!$G$3),J351,D351)</f>
        <v>3095.58</v>
      </c>
      <c r="P351" s="655">
        <f>+IF(OR($Q351=Parametres!$G$2,$Q351=Parametres!$G$3),K351,E351)</f>
        <v>33030.949999999997</v>
      </c>
      <c r="Q351" s="654" t="str">
        <f t="shared" si="183"/>
        <v>7-Dépenses</v>
      </c>
      <c r="R351" s="653" t="str">
        <f t="shared" si="184"/>
        <v>6142</v>
      </c>
      <c r="S351" s="654" t="str">
        <f t="shared" si="185"/>
        <v>_</v>
      </c>
      <c r="T351" s="656" t="str">
        <f>+VLOOKUP($L351,Data_Validation!$A:$D,1,0)</f>
        <v>6442</v>
      </c>
      <c r="U351" s="656" t="str">
        <f>+VLOOKUP($L351,Data_Validation!$A:$D,3,0)</f>
        <v>Service</v>
      </c>
      <c r="V351" s="656" t="str">
        <f>+VLOOKUP($L351,Data_Validation!$A:$D,4,0)</f>
        <v>Fournitures autres</v>
      </c>
      <c r="W351" s="656" t="str">
        <f>+VLOOKUP($L351,Data_Validation!$A:$E,5,0)</f>
        <v>$</v>
      </c>
      <c r="X351" s="656">
        <f>+VLOOKUP($L351,Data_Validation!$A:$F,6,0)</f>
        <v>0</v>
      </c>
    </row>
    <row r="352" spans="1:24" ht="15.75" customHeight="1">
      <c r="A352" s="1218" t="s">
        <v>1189</v>
      </c>
      <c r="B352" s="1218" t="s">
        <v>2478</v>
      </c>
      <c r="C352" s="1220">
        <v>4703.4799999999996</v>
      </c>
      <c r="D352" s="1220">
        <v>699.73</v>
      </c>
      <c r="E352" s="1220">
        <v>5403.21</v>
      </c>
      <c r="F352" s="1218" t="s">
        <v>1154</v>
      </c>
      <c r="G352" s="1218" t="s">
        <v>1190</v>
      </c>
      <c r="H352" s="1218" t="s">
        <v>3950</v>
      </c>
      <c r="I352" s="1200"/>
      <c r="J352" s="1200"/>
      <c r="K352" s="1200"/>
      <c r="L352" s="653" t="str">
        <f t="shared" si="181"/>
        <v>6443</v>
      </c>
      <c r="M352" s="654" t="str">
        <f t="shared" si="182"/>
        <v>UNIFORMES &amp; LESSIVE</v>
      </c>
      <c r="N352" s="655">
        <f>+IF(OR($Q352=Parametres!$G$2,$Q352=Parametres!$G$3),I352,C352)</f>
        <v>4703.4799999999996</v>
      </c>
      <c r="O352" s="659">
        <f>+IF(OR($Q352=Parametres!$G$2,$Q352=Parametres!$G$3),J352,D352)</f>
        <v>699.73</v>
      </c>
      <c r="P352" s="655">
        <f>+IF(OR($Q352=Parametres!$G$2,$Q352=Parametres!$G$3),K352,E352)</f>
        <v>5403.21</v>
      </c>
      <c r="Q352" s="654" t="str">
        <f t="shared" si="183"/>
        <v>7-Dépenses</v>
      </c>
      <c r="R352" s="653" t="str">
        <f t="shared" si="184"/>
        <v>6143</v>
      </c>
      <c r="S352" s="654" t="str">
        <f t="shared" si="185"/>
        <v>_</v>
      </c>
      <c r="T352" s="656" t="str">
        <f>+VLOOKUP($L352,Data_Validation!$A:$D,1,0)</f>
        <v>6443</v>
      </c>
      <c r="U352" s="656" t="str">
        <f>+VLOOKUP($L352,Data_Validation!$A:$D,3,0)</f>
        <v>Service</v>
      </c>
      <c r="V352" s="656" t="str">
        <f>+VLOOKUP($L352,Data_Validation!$A:$D,4,0)</f>
        <v>Uniformes</v>
      </c>
      <c r="W352" s="656" t="str">
        <f>+VLOOKUP($L352,Data_Validation!$A:$E,5,0)</f>
        <v>$</v>
      </c>
      <c r="X352" s="656">
        <f>+VLOOKUP($L352,Data_Validation!$A:$F,6,0)</f>
        <v>0</v>
      </c>
    </row>
    <row r="353" spans="1:24" ht="15" customHeight="1">
      <c r="A353" s="1218" t="s">
        <v>1191</v>
      </c>
      <c r="B353" s="1218" t="s">
        <v>2481</v>
      </c>
      <c r="C353" s="1220">
        <v>5113.8599999999997</v>
      </c>
      <c r="D353" s="1220">
        <v>1328.27</v>
      </c>
      <c r="E353" s="1220">
        <v>6442.13</v>
      </c>
      <c r="F353" s="1218" t="s">
        <v>1154</v>
      </c>
      <c r="G353" s="1218" t="s">
        <v>1192</v>
      </c>
      <c r="H353" s="1218" t="s">
        <v>3950</v>
      </c>
      <c r="I353" s="1203"/>
      <c r="J353" s="1203"/>
      <c r="K353" s="1203"/>
      <c r="L353" s="653" t="str">
        <f t="shared" si="181"/>
        <v>6444</v>
      </c>
      <c r="M353" s="654" t="str">
        <f t="shared" si="182"/>
        <v>FORMATION</v>
      </c>
      <c r="N353" s="655">
        <f>+IF(OR($Q353=Parametres!$G$2,$Q353=Parametres!$G$3),I353,C353)</f>
        <v>5113.8599999999997</v>
      </c>
      <c r="O353" s="655">
        <f>+IF(OR($Q353=Parametres!$G$2,$Q353=Parametres!$G$3),J353,D353)</f>
        <v>1328.27</v>
      </c>
      <c r="P353" s="655">
        <f>+IF(OR($Q353=Parametres!$G$2,$Q353=Parametres!$G$3),K353,E353)</f>
        <v>6442.13</v>
      </c>
      <c r="Q353" s="654" t="str">
        <f t="shared" si="183"/>
        <v>7-Dépenses</v>
      </c>
      <c r="R353" s="653" t="str">
        <f t="shared" si="184"/>
        <v>6144</v>
      </c>
      <c r="S353" s="654" t="str">
        <f t="shared" si="185"/>
        <v>_</v>
      </c>
      <c r="T353" s="656" t="str">
        <f>+VLOOKUP($L353,Data_Validation!$A:$D,1,0)</f>
        <v>6444</v>
      </c>
      <c r="U353" s="656" t="str">
        <f>+VLOOKUP($L353,Data_Validation!$A:$D,3,0)</f>
        <v>Service</v>
      </c>
      <c r="V353" s="656" t="str">
        <f>+VLOOKUP($L353,Data_Validation!$A:$D,4,0)</f>
        <v>Formation</v>
      </c>
      <c r="W353" s="656" t="str">
        <f>+VLOOKUP($L353,Data_Validation!$A:$E,5,0)</f>
        <v>$</v>
      </c>
      <c r="X353" s="656">
        <f>+VLOOKUP($L353,Data_Validation!$A:$F,6,0)</f>
        <v>0</v>
      </c>
    </row>
    <row r="354" spans="1:24" ht="15" customHeight="1">
      <c r="A354" s="1218" t="s">
        <v>1250</v>
      </c>
      <c r="B354" s="1218" t="s">
        <v>2484</v>
      </c>
      <c r="C354" s="1220">
        <v>60323.14</v>
      </c>
      <c r="D354" s="1220">
        <v>12916.71</v>
      </c>
      <c r="E354" s="1220">
        <v>73239.850000000006</v>
      </c>
      <c r="F354" s="1218" t="s">
        <v>1154</v>
      </c>
      <c r="G354" s="1218" t="s">
        <v>1194</v>
      </c>
      <c r="H354" s="1218" t="s">
        <v>3950</v>
      </c>
      <c r="I354" s="1203"/>
      <c r="J354" s="1203"/>
      <c r="K354" s="1203"/>
      <c r="L354" s="653" t="str">
        <f t="shared" si="181"/>
        <v>6445</v>
      </c>
      <c r="M354" s="654" t="str">
        <f t="shared" si="182"/>
        <v>LOCATION COURTOISIE</v>
      </c>
      <c r="N354" s="655">
        <f>+IF(OR($Q354=Parametres!$G$2,$Q354=Parametres!$G$3),I354,C354)</f>
        <v>60323.14</v>
      </c>
      <c r="O354" s="655">
        <f>+IF(OR($Q354=Parametres!$G$2,$Q354=Parametres!$G$3),J354,D354)</f>
        <v>12916.71</v>
      </c>
      <c r="P354" s="655">
        <f>+IF(OR($Q354=Parametres!$G$2,$Q354=Parametres!$G$3),K354,E354)</f>
        <v>73239.850000000006</v>
      </c>
      <c r="Q354" s="654" t="str">
        <f t="shared" si="183"/>
        <v>7-Dépenses</v>
      </c>
      <c r="R354" s="653" t="str">
        <f t="shared" si="184"/>
        <v>6145</v>
      </c>
      <c r="S354" s="654" t="str">
        <f t="shared" si="185"/>
        <v>_</v>
      </c>
      <c r="T354" s="656" t="str">
        <f>+VLOOKUP($L354,Data_Validation!$A:$D,1,0)</f>
        <v>6445</v>
      </c>
      <c r="U354" s="656" t="str">
        <f>+VLOOKUP($L354,Data_Validation!$A:$D,3,0)</f>
        <v>Service</v>
      </c>
      <c r="V354" s="656" t="str">
        <f>+VLOOKUP($L354,Data_Validation!$A:$D,4,0)</f>
        <v>Frais véhicules de cie</v>
      </c>
      <c r="W354" s="656" t="str">
        <f>+VLOOKUP($L354,Data_Validation!$A:$E,5,0)</f>
        <v>$</v>
      </c>
      <c r="X354" s="656">
        <f>+VLOOKUP($L354,Data_Validation!$A:$F,6,0)</f>
        <v>0</v>
      </c>
    </row>
    <row r="355" spans="1:24" ht="15" customHeight="1">
      <c r="A355" s="1218" t="s">
        <v>1195</v>
      </c>
      <c r="B355" s="1218" t="s">
        <v>2487</v>
      </c>
      <c r="C355" s="1220">
        <v>2148.25</v>
      </c>
      <c r="D355" s="1220">
        <v>40.950000000000003</v>
      </c>
      <c r="E355" s="1220">
        <v>2189.1999999999998</v>
      </c>
      <c r="F355" s="1218" t="s">
        <v>1154</v>
      </c>
      <c r="G355" s="1218" t="s">
        <v>1196</v>
      </c>
      <c r="H355" s="1218" t="s">
        <v>3950</v>
      </c>
      <c r="I355" s="1203"/>
      <c r="J355" s="1203"/>
      <c r="K355" s="1203"/>
      <c r="L355" s="653" t="str">
        <f t="shared" si="181"/>
        <v>6447</v>
      </c>
      <c r="M355" s="654" t="str">
        <f t="shared" si="182"/>
        <v>FRET/EXPRESS/TRANS. PAR CAMION</v>
      </c>
      <c r="N355" s="655">
        <f>+IF(OR($Q355=Parametres!$G$2,$Q355=Parametres!$G$3),I355,C355)</f>
        <v>2148.25</v>
      </c>
      <c r="O355" s="655">
        <f>+IF(OR($Q355=Parametres!$G$2,$Q355=Parametres!$G$3),J355,D355)</f>
        <v>40.950000000000003</v>
      </c>
      <c r="P355" s="655">
        <f>+IF(OR($Q355=Parametres!$G$2,$Q355=Parametres!$G$3),K355,E355)</f>
        <v>2189.1999999999998</v>
      </c>
      <c r="Q355" s="654" t="str">
        <f t="shared" si="183"/>
        <v>7-Dépenses</v>
      </c>
      <c r="R355" s="653" t="str">
        <f t="shared" si="184"/>
        <v>6147</v>
      </c>
      <c r="S355" s="654" t="str">
        <f t="shared" si="185"/>
        <v>_</v>
      </c>
      <c r="T355" s="656" t="str">
        <f>+VLOOKUP($L355,Data_Validation!$A:$D,1,0)</f>
        <v>6447</v>
      </c>
      <c r="U355" s="656" t="str">
        <f>+VLOOKUP($L355,Data_Validation!$A:$D,3,0)</f>
        <v>Service</v>
      </c>
      <c r="V355" s="656" t="str">
        <f>+VLOOKUP($L355,Data_Validation!$A:$D,4,0)</f>
        <v>Frais postaux</v>
      </c>
      <c r="W355" s="656" t="str">
        <f>+VLOOKUP($L355,Data_Validation!$A:$E,5,0)</f>
        <v>$</v>
      </c>
      <c r="X355" s="656">
        <f>+VLOOKUP($L355,Data_Validation!$A:$F,6,0)</f>
        <v>0</v>
      </c>
    </row>
    <row r="356" spans="1:24" ht="15" customHeight="1">
      <c r="A356" s="1218" t="s">
        <v>1197</v>
      </c>
      <c r="B356" s="1218" t="s">
        <v>2490</v>
      </c>
      <c r="C356" s="1220">
        <v>31415.68</v>
      </c>
      <c r="D356" s="1220">
        <v>5080.0200000000004</v>
      </c>
      <c r="E356" s="1220">
        <v>36495.699999999997</v>
      </c>
      <c r="F356" s="1218" t="s">
        <v>1154</v>
      </c>
      <c r="G356" s="1218" t="s">
        <v>1198</v>
      </c>
      <c r="H356" s="1218" t="s">
        <v>3950</v>
      </c>
      <c r="I356" s="1202"/>
      <c r="J356" s="1202"/>
      <c r="K356" s="1202"/>
      <c r="L356" s="653" t="str">
        <f t="shared" si="181"/>
        <v>6451</v>
      </c>
      <c r="M356" s="654" t="str">
        <f t="shared" si="182"/>
        <v>DEP. DU TRAITEMENT DES DONNEES</v>
      </c>
      <c r="N356" s="655">
        <f>+IF(OR($Q356=Parametres!$G$2,$Q356=Parametres!$G$3),I356,C356)</f>
        <v>31415.68</v>
      </c>
      <c r="O356" s="655">
        <f>+IF(OR($Q356=Parametres!$G$2,$Q356=Parametres!$G$3),J356,D356)</f>
        <v>5080.0200000000004</v>
      </c>
      <c r="P356" s="655">
        <f>+IF(OR($Q356=Parametres!$G$2,$Q356=Parametres!$G$3),K356,E356)</f>
        <v>36495.699999999997</v>
      </c>
      <c r="Q356" s="654" t="str">
        <f t="shared" si="183"/>
        <v>7-Dépenses</v>
      </c>
      <c r="R356" s="653" t="str">
        <f t="shared" si="184"/>
        <v>6151</v>
      </c>
      <c r="S356" s="654" t="str">
        <f t="shared" si="185"/>
        <v>_</v>
      </c>
      <c r="T356" s="656" t="str">
        <f>+VLOOKUP($L356,Data_Validation!$A:$D,1,0)</f>
        <v>6451</v>
      </c>
      <c r="U356" s="656" t="str">
        <f>+VLOOKUP($L356,Data_Validation!$A:$D,3,0)</f>
        <v>Service</v>
      </c>
      <c r="V356" s="656" t="str">
        <f>+VLOOKUP($L356,Data_Validation!$A:$D,4,0)</f>
        <v>Informatique</v>
      </c>
      <c r="W356" s="656" t="str">
        <f>+VLOOKUP($L356,Data_Validation!$A:$E,5,0)</f>
        <v>$</v>
      </c>
      <c r="X356" s="656">
        <f>+VLOOKUP($L356,Data_Validation!$A:$F,6,0)</f>
        <v>0</v>
      </c>
    </row>
    <row r="357" spans="1:24" ht="15" customHeight="1">
      <c r="A357" s="1218" t="s">
        <v>1199</v>
      </c>
      <c r="B357" s="1218" t="s">
        <v>2493</v>
      </c>
      <c r="C357" s="1220">
        <v>3563.1</v>
      </c>
      <c r="D357" s="1220">
        <v>2994.06</v>
      </c>
      <c r="E357" s="1220">
        <v>6557.16</v>
      </c>
      <c r="F357" s="1218" t="s">
        <v>1154</v>
      </c>
      <c r="G357" s="1218" t="s">
        <v>1200</v>
      </c>
      <c r="H357" s="1218" t="s">
        <v>3950</v>
      </c>
      <c r="I357" s="1202"/>
      <c r="J357" s="1202"/>
      <c r="K357" s="1202"/>
      <c r="L357" s="653" t="str">
        <f t="shared" si="181"/>
        <v>6452</v>
      </c>
      <c r="M357" s="654" t="str">
        <f t="shared" si="182"/>
        <v>PAPETERIE</v>
      </c>
      <c r="N357" s="655">
        <f>+IF(OR($Q357=Parametres!$G$2,$Q357=Parametres!$G$3),I357,C357)</f>
        <v>3563.1</v>
      </c>
      <c r="O357" s="655">
        <f>+IF(OR($Q357=Parametres!$G$2,$Q357=Parametres!$G$3),J357,D357)</f>
        <v>2994.06</v>
      </c>
      <c r="P357" s="655">
        <f>+IF(OR($Q357=Parametres!$G$2,$Q357=Parametres!$G$3),K357,E357)</f>
        <v>6557.16</v>
      </c>
      <c r="Q357" s="654" t="str">
        <f t="shared" si="183"/>
        <v>7-Dépenses</v>
      </c>
      <c r="R357" s="653" t="str">
        <f t="shared" si="184"/>
        <v>6152</v>
      </c>
      <c r="S357" s="654" t="str">
        <f t="shared" si="185"/>
        <v>_</v>
      </c>
      <c r="T357" s="656" t="str">
        <f>+VLOOKUP($L357,Data_Validation!$A:$D,1,0)</f>
        <v>6452</v>
      </c>
      <c r="U357" s="656" t="str">
        <f>+VLOOKUP($L357,Data_Validation!$A:$D,3,0)</f>
        <v>Service</v>
      </c>
      <c r="V357" s="656" t="str">
        <f>+VLOOKUP($L357,Data_Validation!$A:$D,4,0)</f>
        <v>Papeterie</v>
      </c>
      <c r="W357" s="656" t="str">
        <f>+VLOOKUP($L357,Data_Validation!$A:$E,5,0)</f>
        <v>$</v>
      </c>
      <c r="X357" s="656">
        <f>+VLOOKUP($L357,Data_Validation!$A:$F,6,0)</f>
        <v>0</v>
      </c>
    </row>
    <row r="358" spans="1:24" ht="15.75" customHeight="1">
      <c r="A358" s="1218" t="s">
        <v>1201</v>
      </c>
      <c r="B358" s="1218" t="s">
        <v>2496</v>
      </c>
      <c r="C358" s="1220">
        <v>1299.52</v>
      </c>
      <c r="D358" s="1220">
        <v>161.29</v>
      </c>
      <c r="E358" s="1220">
        <v>1460.81</v>
      </c>
      <c r="F358" s="1218" t="s">
        <v>1154</v>
      </c>
      <c r="G358" s="1218" t="s">
        <v>1202</v>
      </c>
      <c r="H358" s="1218" t="s">
        <v>3950</v>
      </c>
      <c r="I358" s="1202"/>
      <c r="J358" s="1202"/>
      <c r="K358" s="1202"/>
      <c r="L358" s="653" t="str">
        <f t="shared" si="181"/>
        <v>6453</v>
      </c>
      <c r="M358" s="654" t="str">
        <f t="shared" si="182"/>
        <v>TELEPHONE ET TELEX</v>
      </c>
      <c r="N358" s="655">
        <f>+IF(OR($Q358=Parametres!$G$2,$Q358=Parametres!$G$3),I358,C358)</f>
        <v>1299.52</v>
      </c>
      <c r="O358" s="655">
        <f>+IF(OR($Q358=Parametres!$G$2,$Q358=Parametres!$G$3),J358,D358)</f>
        <v>161.29</v>
      </c>
      <c r="P358" s="655">
        <f>+IF(OR($Q358=Parametres!$G$2,$Q358=Parametres!$G$3),K358,E358)</f>
        <v>1460.81</v>
      </c>
      <c r="Q358" s="654" t="str">
        <f t="shared" si="183"/>
        <v>7-Dépenses</v>
      </c>
      <c r="R358" s="653" t="str">
        <f t="shared" si="184"/>
        <v>6153</v>
      </c>
      <c r="S358" s="654" t="str">
        <f t="shared" si="185"/>
        <v>_</v>
      </c>
      <c r="T358" s="656" t="str">
        <f>+VLOOKUP($L358,Data_Validation!$A:$D,1,0)</f>
        <v>6453</v>
      </c>
      <c r="U358" s="656" t="str">
        <f>+VLOOKUP($L358,Data_Validation!$A:$D,3,0)</f>
        <v>Service</v>
      </c>
      <c r="V358" s="656" t="str">
        <f>+VLOOKUP($L358,Data_Validation!$A:$D,4,0)</f>
        <v>Téléphone</v>
      </c>
      <c r="W358" s="656" t="str">
        <f>+VLOOKUP($L358,Data_Validation!$A:$E,5,0)</f>
        <v>$</v>
      </c>
      <c r="X358" s="656">
        <f>+VLOOKUP($L358,Data_Validation!$A:$F,6,0)</f>
        <v>0</v>
      </c>
    </row>
    <row r="359" spans="1:24" ht="15" customHeight="1">
      <c r="A359" s="1218" t="s">
        <v>1203</v>
      </c>
      <c r="B359" s="1218" t="s">
        <v>2499</v>
      </c>
      <c r="C359" s="1220">
        <v>395.49</v>
      </c>
      <c r="D359" s="1220">
        <v>47.04</v>
      </c>
      <c r="E359" s="1220">
        <v>442.53</v>
      </c>
      <c r="F359" s="1218" t="s">
        <v>1154</v>
      </c>
      <c r="G359" s="1218" t="s">
        <v>1204</v>
      </c>
      <c r="H359" s="1218" t="s">
        <v>3950</v>
      </c>
      <c r="I359" s="1202"/>
      <c r="J359" s="1202"/>
      <c r="K359" s="1202"/>
      <c r="L359" s="653" t="str">
        <f t="shared" si="181"/>
        <v>6455</v>
      </c>
      <c r="M359" s="654" t="str">
        <f t="shared" si="182"/>
        <v>DEPENSES DIVERS</v>
      </c>
      <c r="N359" s="655">
        <f>+IF(OR($Q359=Parametres!$G$2,$Q359=Parametres!$G$3),I359,C359)</f>
        <v>395.49</v>
      </c>
      <c r="O359" s="655">
        <f>+IF(OR($Q359=Parametres!$G$2,$Q359=Parametres!$G$3),J359,D359)</f>
        <v>47.04</v>
      </c>
      <c r="P359" s="655">
        <f>+IF(OR($Q359=Parametres!$G$2,$Q359=Parametres!$G$3),K359,E359)</f>
        <v>442.53</v>
      </c>
      <c r="Q359" s="654" t="str">
        <f t="shared" si="183"/>
        <v>7-Dépenses</v>
      </c>
      <c r="R359" s="653" t="str">
        <f t="shared" si="184"/>
        <v>6155</v>
      </c>
      <c r="S359" s="654" t="str">
        <f t="shared" si="185"/>
        <v>_</v>
      </c>
      <c r="T359" s="656" t="str">
        <f>+VLOOKUP($L359,Data_Validation!$A:$D,1,0)</f>
        <v>6455</v>
      </c>
      <c r="U359" s="656" t="str">
        <f>+VLOOKUP($L359,Data_Validation!$A:$D,3,0)</f>
        <v>Service</v>
      </c>
      <c r="V359" s="656" t="str">
        <f>+VLOOKUP($L359,Data_Validation!$A:$D,4,0)</f>
        <v>Divers</v>
      </c>
      <c r="W359" s="656" t="str">
        <f>+VLOOKUP($L359,Data_Validation!$A:$E,5,0)</f>
        <v>$</v>
      </c>
      <c r="X359" s="656">
        <f>+VLOOKUP($L359,Data_Validation!$A:$F,6,0)</f>
        <v>0</v>
      </c>
    </row>
    <row r="360" spans="1:24" ht="15" customHeight="1">
      <c r="A360" s="1218" t="s">
        <v>1251</v>
      </c>
      <c r="B360" s="1218" t="s">
        <v>2502</v>
      </c>
      <c r="C360" s="1220">
        <v>8076.36</v>
      </c>
      <c r="D360" s="1220">
        <v>669.31</v>
      </c>
      <c r="E360" s="1220">
        <v>8745.67</v>
      </c>
      <c r="F360" s="1218" t="s">
        <v>1154</v>
      </c>
      <c r="G360" s="1218" t="s">
        <v>1206</v>
      </c>
      <c r="H360" s="1218" t="s">
        <v>3950</v>
      </c>
      <c r="I360" s="1202"/>
      <c r="J360" s="1202"/>
      <c r="K360" s="1202"/>
      <c r="L360" s="653" t="str">
        <f t="shared" si="181"/>
        <v>6456</v>
      </c>
      <c r="M360" s="654" t="str">
        <f t="shared" si="182"/>
        <v>FRAIS REPRESENTATION - SERVICE</v>
      </c>
      <c r="N360" s="655">
        <f>+IF(OR($Q360=Parametres!$G$2,$Q360=Parametres!$G$3),I360,C360)</f>
        <v>8076.36</v>
      </c>
      <c r="O360" s="655">
        <f>+IF(OR($Q360=Parametres!$G$2,$Q360=Parametres!$G$3),J360,D360)</f>
        <v>669.31</v>
      </c>
      <c r="P360" s="655">
        <f>+IF(OR($Q360=Parametres!$G$2,$Q360=Parametres!$G$3),K360,E360)</f>
        <v>8745.67</v>
      </c>
      <c r="Q360" s="654" t="str">
        <f t="shared" si="183"/>
        <v>7-Dépenses</v>
      </c>
      <c r="R360" s="653" t="str">
        <f t="shared" si="184"/>
        <v>6156</v>
      </c>
      <c r="S360" s="654" t="str">
        <f t="shared" si="185"/>
        <v>_</v>
      </c>
      <c r="T360" s="656" t="str">
        <f>+VLOOKUP($L360,Data_Validation!$A:$D,1,0)</f>
        <v>6456</v>
      </c>
      <c r="U360" s="656" t="str">
        <f>+VLOOKUP($L360,Data_Validation!$A:$D,3,0)</f>
        <v>Service</v>
      </c>
      <c r="V360" s="656" t="str">
        <f>+VLOOKUP($L360,Data_Validation!$A:$D,4,0)</f>
        <v>Frais de déplacement</v>
      </c>
      <c r="W360" s="656" t="str">
        <f>+VLOOKUP($L360,Data_Validation!$A:$E,5,0)</f>
        <v>$</v>
      </c>
      <c r="X360" s="656">
        <f>+VLOOKUP($L360,Data_Validation!$A:$F,6,0)</f>
        <v>0</v>
      </c>
    </row>
    <row r="361" spans="1:24" ht="15" customHeight="1">
      <c r="A361" s="1218" t="s">
        <v>1252</v>
      </c>
      <c r="B361" s="1218" t="s">
        <v>3394</v>
      </c>
      <c r="C361" s="1220">
        <v>10684.98</v>
      </c>
      <c r="D361" s="1220">
        <v>1951.19</v>
      </c>
      <c r="E361" s="1220">
        <v>12636.17</v>
      </c>
      <c r="F361" s="1218" t="s">
        <v>1154</v>
      </c>
      <c r="G361" s="1218" t="s">
        <v>1253</v>
      </c>
      <c r="H361" s="1218" t="s">
        <v>3950</v>
      </c>
      <c r="I361" s="1202"/>
      <c r="J361" s="1202"/>
      <c r="K361" s="1202"/>
      <c r="L361" s="653" t="str">
        <f t="shared" si="181"/>
        <v>6457</v>
      </c>
      <c r="M361" s="654" t="str">
        <f t="shared" si="182"/>
        <v>FRAIS BANCAIRES - SERVICE</v>
      </c>
      <c r="N361" s="655">
        <f>+IF(OR($Q361=Parametres!$G$2,$Q361=Parametres!$G$3),I361,C361)</f>
        <v>10684.98</v>
      </c>
      <c r="O361" s="655">
        <f>+IF(OR($Q361=Parametres!$G$2,$Q361=Parametres!$G$3),J361,D361)</f>
        <v>1951.19</v>
      </c>
      <c r="P361" s="655">
        <f>+IF(OR($Q361=Parametres!$G$2,$Q361=Parametres!$G$3),K361,E361)</f>
        <v>12636.17</v>
      </c>
      <c r="Q361" s="654" t="str">
        <f t="shared" si="183"/>
        <v>7-Dépenses</v>
      </c>
      <c r="R361" s="653" t="str">
        <f t="shared" si="184"/>
        <v>645</v>
      </c>
      <c r="S361" s="654" t="str">
        <f t="shared" si="185"/>
        <v>_</v>
      </c>
      <c r="T361" s="656" t="str">
        <f>+VLOOKUP($L361,Data_Validation!$A:$D,1,0)</f>
        <v>6457</v>
      </c>
      <c r="U361" s="656" t="str">
        <f>+VLOOKUP($L361,Data_Validation!$A:$D,3,0)</f>
        <v>Service</v>
      </c>
      <c r="V361" s="656" t="str">
        <f>+VLOOKUP($L361,Data_Validation!$A:$D,4,0)</f>
        <v>Frais bancaires</v>
      </c>
      <c r="W361" s="656" t="str">
        <f>+VLOOKUP($L361,Data_Validation!$A:$E,5,0)</f>
        <v>$</v>
      </c>
      <c r="X361" s="656">
        <f>+VLOOKUP($L361,Data_Validation!$A:$F,6,0)</f>
        <v>0</v>
      </c>
    </row>
    <row r="362" spans="1:24" ht="15.75" customHeight="1">
      <c r="A362" s="1218" t="s">
        <v>1209</v>
      </c>
      <c r="B362" s="1218" t="s">
        <v>2505</v>
      </c>
      <c r="C362" s="1220">
        <v>91573.08</v>
      </c>
      <c r="D362" s="1220">
        <v>18251.97</v>
      </c>
      <c r="E362" s="1220">
        <v>109825.05</v>
      </c>
      <c r="F362" s="1218" t="s">
        <v>1154</v>
      </c>
      <c r="G362" s="1218" t="s">
        <v>1210</v>
      </c>
      <c r="H362" s="1218" t="s">
        <v>3950</v>
      </c>
      <c r="I362" s="1202"/>
      <c r="J362" s="1202"/>
      <c r="K362" s="1202"/>
      <c r="L362" s="653" t="str">
        <f t="shared" si="181"/>
        <v>6459</v>
      </c>
      <c r="M362" s="654" t="str">
        <f t="shared" si="182"/>
        <v>SERVICE EXTERIEUR</v>
      </c>
      <c r="N362" s="655">
        <f>+IF(OR($Q362=Parametres!$G$2,$Q362=Parametres!$G$3),I362,C362)</f>
        <v>91573.08</v>
      </c>
      <c r="O362" s="655">
        <f>+IF(OR($Q362=Parametres!$G$2,$Q362=Parametres!$G$3),J362,D362)</f>
        <v>18251.97</v>
      </c>
      <c r="P362" s="655">
        <f>+IF(OR($Q362=Parametres!$G$2,$Q362=Parametres!$G$3),K362,E362)</f>
        <v>109825.05</v>
      </c>
      <c r="Q362" s="654" t="str">
        <f t="shared" si="183"/>
        <v>7-Dépenses</v>
      </c>
      <c r="R362" s="653" t="str">
        <f t="shared" si="184"/>
        <v>6159</v>
      </c>
      <c r="S362" s="654" t="str">
        <f t="shared" si="185"/>
        <v>_</v>
      </c>
      <c r="T362" s="656" t="str">
        <f>+VLOOKUP($L362,Data_Validation!$A:$D,1,0)</f>
        <v>6459</v>
      </c>
      <c r="U362" s="656" t="str">
        <f>+VLOOKUP($L362,Data_Validation!$A:$D,3,0)</f>
        <v>Service</v>
      </c>
      <c r="V362" s="656" t="str">
        <f>+VLOOKUP($L362,Data_Validation!$A:$D,4,0)</f>
        <v>Services extérieurs</v>
      </c>
      <c r="W362" s="656" t="str">
        <f>+VLOOKUP($L362,Data_Validation!$A:$E,5,0)</f>
        <v>$</v>
      </c>
      <c r="X362" s="656">
        <f>+VLOOKUP($L362,Data_Validation!$A:$F,6,0)</f>
        <v>0</v>
      </c>
    </row>
    <row r="363" spans="1:24" ht="15.75" customHeight="1">
      <c r="A363" s="1218" t="s">
        <v>1211</v>
      </c>
      <c r="B363" s="1218" t="s">
        <v>2508</v>
      </c>
      <c r="C363" s="1220">
        <v>61413.120000000003</v>
      </c>
      <c r="D363" s="1220">
        <v>10235.52</v>
      </c>
      <c r="E363" s="1220">
        <v>71648.639999999999</v>
      </c>
      <c r="F363" s="1218" t="s">
        <v>1154</v>
      </c>
      <c r="G363" s="1218" t="s">
        <v>1212</v>
      </c>
      <c r="H363" s="1218" t="s">
        <v>3950</v>
      </c>
      <c r="I363" s="1202"/>
      <c r="J363" s="1202"/>
      <c r="K363" s="1202"/>
      <c r="L363" s="653" t="str">
        <f t="shared" si="181"/>
        <v>6461</v>
      </c>
      <c r="M363" s="654" t="str">
        <f t="shared" si="182"/>
        <v>DEPRECIATION EQUIP. &amp; FIXTURES</v>
      </c>
      <c r="N363" s="655">
        <f>+IF(OR($Q363=Parametres!$G$2,$Q363=Parametres!$G$3),I363,C363)</f>
        <v>61413.120000000003</v>
      </c>
      <c r="O363" s="655">
        <f>+IF(OR($Q363=Parametres!$G$2,$Q363=Parametres!$G$3),J363,D363)</f>
        <v>10235.52</v>
      </c>
      <c r="P363" s="655">
        <f>+IF(OR($Q363=Parametres!$G$2,$Q363=Parametres!$G$3),K363,E363)</f>
        <v>71648.639999999999</v>
      </c>
      <c r="Q363" s="654" t="str">
        <f t="shared" si="183"/>
        <v>7-Dépenses</v>
      </c>
      <c r="R363" s="653" t="str">
        <f t="shared" si="184"/>
        <v>6161</v>
      </c>
      <c r="S363" s="654" t="str">
        <f t="shared" si="185"/>
        <v>_</v>
      </c>
      <c r="T363" s="656" t="str">
        <f>+VLOOKUP($L363,Data_Validation!$A:$D,1,0)</f>
        <v>6461</v>
      </c>
      <c r="U363" s="656" t="str">
        <f>+VLOOKUP($L363,Data_Validation!$A:$D,3,0)</f>
        <v>Service</v>
      </c>
      <c r="V363" s="656" t="str">
        <f>+VLOOKUP($L363,Data_Validation!$A:$D,4,0)</f>
        <v>Amortissement</v>
      </c>
      <c r="W363" s="656" t="str">
        <f>+VLOOKUP($L363,Data_Validation!$A:$E,5,0)</f>
        <v>$</v>
      </c>
      <c r="X363" s="656">
        <f>+VLOOKUP($L363,Data_Validation!$A:$F,6,0)</f>
        <v>0</v>
      </c>
    </row>
    <row r="364" spans="1:24" ht="15" customHeight="1">
      <c r="A364" s="1218" t="s">
        <v>1389</v>
      </c>
      <c r="B364" s="1218" t="s">
        <v>2511</v>
      </c>
      <c r="C364" s="1220">
        <v>5790.49</v>
      </c>
      <c r="D364" s="1220">
        <v>1794.64</v>
      </c>
      <c r="E364" s="1220">
        <v>7585.13</v>
      </c>
      <c r="F364" s="1218" t="s">
        <v>1154</v>
      </c>
      <c r="G364" s="1218" t="s">
        <v>2304</v>
      </c>
      <c r="H364" s="1218" t="s">
        <v>3950</v>
      </c>
      <c r="I364" s="1202"/>
      <c r="J364" s="1202"/>
      <c r="K364" s="1202"/>
      <c r="L364" s="653" t="str">
        <f t="shared" si="181"/>
        <v>6462</v>
      </c>
      <c r="M364" s="654" t="str">
        <f t="shared" si="182"/>
        <v>LOCATION D'EQUIPEMENTS</v>
      </c>
      <c r="N364" s="655">
        <f>+IF(OR($Q364=Parametres!$G$2,$Q364=Parametres!$G$3),I364,C364)</f>
        <v>5790.49</v>
      </c>
      <c r="O364" s="655">
        <f>+IF(OR($Q364=Parametres!$G$2,$Q364=Parametres!$G$3),J364,D364)</f>
        <v>1794.64</v>
      </c>
      <c r="P364" s="655">
        <f>+IF(OR($Q364=Parametres!$G$2,$Q364=Parametres!$G$3),K364,E364)</f>
        <v>7585.13</v>
      </c>
      <c r="Q364" s="654" t="str">
        <f t="shared" si="183"/>
        <v>7-Dépenses</v>
      </c>
      <c r="R364" s="653" t="str">
        <f t="shared" si="184"/>
        <v>6162</v>
      </c>
      <c r="S364" s="654" t="str">
        <f t="shared" si="185"/>
        <v>_</v>
      </c>
      <c r="T364" s="656" t="str">
        <f>+VLOOKUP($L364,Data_Validation!$A:$D,1,0)</f>
        <v>6462</v>
      </c>
      <c r="U364" s="656" t="str">
        <f>+VLOOKUP($L364,Data_Validation!$A:$D,3,0)</f>
        <v>Service</v>
      </c>
      <c r="V364" s="656" t="str">
        <f>+VLOOKUP($L364,Data_Validation!$A:$D,4,0)</f>
        <v>Location équipement</v>
      </c>
      <c r="W364" s="656" t="str">
        <f>+VLOOKUP($L364,Data_Validation!$A:$E,5,0)</f>
        <v>$</v>
      </c>
      <c r="X364" s="656">
        <f>+VLOOKUP($L364,Data_Validation!$A:$F,6,0)</f>
        <v>0</v>
      </c>
    </row>
    <row r="365" spans="1:24" ht="15" customHeight="1">
      <c r="A365" s="1218" t="s">
        <v>1254</v>
      </c>
      <c r="B365" s="1218" t="s">
        <v>2514</v>
      </c>
      <c r="C365" s="1220">
        <v>4868.99</v>
      </c>
      <c r="D365" s="1220">
        <v>764.9</v>
      </c>
      <c r="E365" s="1220">
        <v>5633.89</v>
      </c>
      <c r="F365" s="1218" t="s">
        <v>1154</v>
      </c>
      <c r="G365" s="1218" t="s">
        <v>1255</v>
      </c>
      <c r="H365" s="1218" t="s">
        <v>3950</v>
      </c>
      <c r="I365" s="1202"/>
      <c r="J365" s="1202"/>
      <c r="K365" s="1202"/>
      <c r="L365" s="653" t="str">
        <f t="shared" si="181"/>
        <v>6463</v>
      </c>
      <c r="M365" s="654" t="str">
        <f t="shared" si="182"/>
        <v>REPARATION &amp; ENT. - EQUIP.</v>
      </c>
      <c r="N365" s="655">
        <f>+IF(OR($Q365=Parametres!$G$2,$Q365=Parametres!$G$3),I365,C365)</f>
        <v>4868.99</v>
      </c>
      <c r="O365" s="655">
        <f>+IF(OR($Q365=Parametres!$G$2,$Q365=Parametres!$G$3),J365,D365)</f>
        <v>764.9</v>
      </c>
      <c r="P365" s="655">
        <f>+IF(OR($Q365=Parametres!$G$2,$Q365=Parametres!$G$3),K365,E365)</f>
        <v>5633.89</v>
      </c>
      <c r="Q365" s="654" t="str">
        <f t="shared" si="183"/>
        <v>7-Dépenses</v>
      </c>
      <c r="R365" s="653" t="str">
        <f t="shared" si="184"/>
        <v>6163</v>
      </c>
      <c r="S365" s="654" t="str">
        <f t="shared" si="185"/>
        <v>_</v>
      </c>
      <c r="T365" s="656" t="str">
        <f>+VLOOKUP($L365,Data_Validation!$A:$D,1,0)</f>
        <v>6463</v>
      </c>
      <c r="U365" s="656" t="str">
        <f>+VLOOKUP($L365,Data_Validation!$A:$D,3,0)</f>
        <v>Service</v>
      </c>
      <c r="V365" s="656" t="str">
        <f>+VLOOKUP($L365,Data_Validation!$A:$D,4,0)</f>
        <v>Réparation équipement</v>
      </c>
      <c r="W365" s="656" t="str">
        <f>+VLOOKUP($L365,Data_Validation!$A:$E,5,0)</f>
        <v>$</v>
      </c>
      <c r="X365" s="656">
        <f>+VLOOKUP($L365,Data_Validation!$A:$F,6,0)</f>
        <v>0</v>
      </c>
    </row>
    <row r="366" spans="1:24" ht="15" customHeight="1">
      <c r="A366" s="1218" t="s">
        <v>1256</v>
      </c>
      <c r="B366" s="1218" t="s">
        <v>2517</v>
      </c>
      <c r="C366" s="1220">
        <v>10231.49</v>
      </c>
      <c r="D366" s="1220">
        <v>1181.1400000000001</v>
      </c>
      <c r="E366" s="1220">
        <v>11412.63</v>
      </c>
      <c r="F366" s="1218" t="s">
        <v>1154</v>
      </c>
      <c r="G366" s="1218" t="s">
        <v>1214</v>
      </c>
      <c r="H366" s="1218" t="s">
        <v>3950</v>
      </c>
      <c r="I366" s="1202"/>
      <c r="J366" s="1202"/>
      <c r="K366" s="1202"/>
      <c r="L366" s="653" t="str">
        <f t="shared" si="181"/>
        <v>6481</v>
      </c>
      <c r="M366" s="654" t="str">
        <f t="shared" si="182"/>
        <v>CHAUFFAGE,ELECTRICITE,EAU-SERVICE</v>
      </c>
      <c r="N366" s="655">
        <f>+IF(OR($Q366=Parametres!$G$2,$Q366=Parametres!$G$3),I366,C366)</f>
        <v>10231.49</v>
      </c>
      <c r="O366" s="659">
        <f>+IF(OR($Q366=Parametres!$G$2,$Q366=Parametres!$G$3),J366,D366)</f>
        <v>1181.1400000000001</v>
      </c>
      <c r="P366" s="655">
        <f>+IF(OR($Q366=Parametres!$G$2,$Q366=Parametres!$G$3),K366,E366)</f>
        <v>11412.63</v>
      </c>
      <c r="Q366" s="654" t="str">
        <f t="shared" si="183"/>
        <v>7-Dépenses</v>
      </c>
      <c r="R366" s="653" t="str">
        <f t="shared" si="184"/>
        <v>6181</v>
      </c>
      <c r="S366" s="654" t="str">
        <f t="shared" si="185"/>
        <v>_</v>
      </c>
      <c r="T366" s="656" t="str">
        <f>+VLOOKUP($L366,Data_Validation!$A:$D,1,0)</f>
        <v>6481</v>
      </c>
      <c r="U366" s="656" t="str">
        <f>+VLOOKUP($L366,Data_Validation!$A:$D,3,0)</f>
        <v>Service</v>
      </c>
      <c r="V366" s="656" t="str">
        <f>+VLOOKUP($L366,Data_Validation!$A:$D,4,0)</f>
        <v>Chauffage, éclairage</v>
      </c>
      <c r="W366" s="656" t="str">
        <f>+VLOOKUP($L366,Data_Validation!$A:$E,5,0)</f>
        <v>$</v>
      </c>
      <c r="X366" s="656">
        <f>+VLOOKUP($L366,Data_Validation!$A:$F,6,0)</f>
        <v>0</v>
      </c>
    </row>
    <row r="367" spans="1:24" ht="15" customHeight="1">
      <c r="A367" s="1218" t="s">
        <v>1257</v>
      </c>
      <c r="B367" s="1218" t="s">
        <v>2520</v>
      </c>
      <c r="C367" s="1220">
        <v>51840</v>
      </c>
      <c r="D367" s="1220">
        <v>8640</v>
      </c>
      <c r="E367" s="1220">
        <v>60480</v>
      </c>
      <c r="F367" s="1218" t="s">
        <v>1154</v>
      </c>
      <c r="G367" s="1218" t="s">
        <v>1216</v>
      </c>
      <c r="H367" s="1218" t="s">
        <v>3950</v>
      </c>
      <c r="I367" s="1202"/>
      <c r="J367" s="1202"/>
      <c r="K367" s="1202"/>
      <c r="L367" s="653" t="str">
        <f t="shared" si="181"/>
        <v>6482</v>
      </c>
      <c r="M367" s="654" t="str">
        <f t="shared" si="182"/>
        <v>LOYER - SERVICE</v>
      </c>
      <c r="N367" s="655">
        <f>+IF(OR($Q367=Parametres!$G$2,$Q367=Parametres!$G$3),I367,C367)</f>
        <v>51840</v>
      </c>
      <c r="O367" s="655">
        <f>+IF(OR($Q367=Parametres!$G$2,$Q367=Parametres!$G$3),J367,D367)</f>
        <v>8640</v>
      </c>
      <c r="P367" s="655">
        <f>+IF(OR($Q367=Parametres!$G$2,$Q367=Parametres!$G$3),K367,E367)</f>
        <v>60480</v>
      </c>
      <c r="Q367" s="654" t="str">
        <f t="shared" si="183"/>
        <v>7-Dépenses</v>
      </c>
      <c r="R367" s="653" t="str">
        <f t="shared" si="184"/>
        <v>6182</v>
      </c>
      <c r="S367" s="654" t="str">
        <f t="shared" si="185"/>
        <v>_</v>
      </c>
      <c r="T367" s="656" t="str">
        <f>+VLOOKUP($L367,Data_Validation!$A:$D,1,0)</f>
        <v>6482</v>
      </c>
      <c r="U367" s="656" t="str">
        <f>+VLOOKUP($L367,Data_Validation!$A:$D,3,0)</f>
        <v>Service</v>
      </c>
      <c r="V367" s="656" t="str">
        <f>+VLOOKUP($L367,Data_Validation!$A:$D,4,0)</f>
        <v>Loyer</v>
      </c>
      <c r="W367" s="656" t="str">
        <f>+VLOOKUP($L367,Data_Validation!$A:$E,5,0)</f>
        <v>$</v>
      </c>
      <c r="X367" s="656">
        <f>+VLOOKUP($L367,Data_Validation!$A:$F,6,0)</f>
        <v>0</v>
      </c>
    </row>
    <row r="368" spans="1:24" ht="15" customHeight="1">
      <c r="A368" s="1218" t="s">
        <v>1258</v>
      </c>
      <c r="B368" s="1218" t="s">
        <v>2523</v>
      </c>
      <c r="C368" s="1220">
        <v>6255.72</v>
      </c>
      <c r="D368" s="1220">
        <v>1042.6199999999999</v>
      </c>
      <c r="E368" s="1220">
        <v>7298.34</v>
      </c>
      <c r="F368" s="1218" t="s">
        <v>1154</v>
      </c>
      <c r="G368" s="1218" t="s">
        <v>1218</v>
      </c>
      <c r="H368" s="1218" t="s">
        <v>3950</v>
      </c>
      <c r="I368" s="1202"/>
      <c r="J368" s="1202"/>
      <c r="K368" s="1202"/>
      <c r="L368" s="653" t="str">
        <f t="shared" si="181"/>
        <v>6486</v>
      </c>
      <c r="M368" s="654" t="str">
        <f t="shared" si="182"/>
        <v>ASSURANCE BATISSE &amp; AMEL.-SERVICE</v>
      </c>
      <c r="N368" s="655">
        <f>+IF(OR($Q368=Parametres!$G$2,$Q368=Parametres!$G$3),I368,C368)</f>
        <v>6255.72</v>
      </c>
      <c r="O368" s="655">
        <f>+IF(OR($Q368=Parametres!$G$2,$Q368=Parametres!$G$3),J368,D368)</f>
        <v>1042.6199999999999</v>
      </c>
      <c r="P368" s="655">
        <f>+IF(OR($Q368=Parametres!$G$2,$Q368=Parametres!$G$3),K368,E368)</f>
        <v>7298.34</v>
      </c>
      <c r="Q368" s="654" t="str">
        <f t="shared" si="183"/>
        <v>7-Dépenses</v>
      </c>
      <c r="R368" s="653" t="str">
        <f t="shared" si="184"/>
        <v>6186</v>
      </c>
      <c r="S368" s="654" t="str">
        <f t="shared" si="185"/>
        <v>_</v>
      </c>
      <c r="T368" s="656" t="str">
        <f>+VLOOKUP($L368,Data_Validation!$A:$D,1,0)</f>
        <v>6486</v>
      </c>
      <c r="U368" s="656" t="str">
        <f>+VLOOKUP($L368,Data_Validation!$A:$D,3,0)</f>
        <v>Service</v>
      </c>
      <c r="V368" s="656" t="str">
        <f>+VLOOKUP($L368,Data_Validation!$A:$D,4,0)</f>
        <v>Assurances</v>
      </c>
      <c r="W368" s="656" t="str">
        <f>+VLOOKUP($L368,Data_Validation!$A:$E,5,0)</f>
        <v>$</v>
      </c>
      <c r="X368" s="656">
        <f>+VLOOKUP($L368,Data_Validation!$A:$F,6,0)</f>
        <v>0</v>
      </c>
    </row>
    <row r="369" spans="1:24" ht="15.75" customHeight="1">
      <c r="A369" s="1218" t="s">
        <v>1259</v>
      </c>
      <c r="B369" s="1218" t="s">
        <v>2526</v>
      </c>
      <c r="C369" s="1220">
        <v>7809.12</v>
      </c>
      <c r="D369" s="1220">
        <v>1301.52</v>
      </c>
      <c r="E369" s="1220">
        <v>9110.64</v>
      </c>
      <c r="F369" s="1218" t="s">
        <v>1154</v>
      </c>
      <c r="G369" s="1218" t="s">
        <v>1220</v>
      </c>
      <c r="H369" s="1218" t="s">
        <v>3950</v>
      </c>
      <c r="I369" s="1202"/>
      <c r="J369" s="1202"/>
      <c r="K369" s="1202"/>
      <c r="L369" s="653" t="str">
        <f t="shared" si="181"/>
        <v>6487</v>
      </c>
      <c r="M369" s="654" t="str">
        <f t="shared" si="182"/>
        <v>TAXES FONCIERES - SERVICE</v>
      </c>
      <c r="N369" s="655">
        <f>+IF(OR($Q369=Parametres!$G$2,$Q369=Parametres!$G$3),I369,C369)</f>
        <v>7809.12</v>
      </c>
      <c r="O369" s="655">
        <f>+IF(OR($Q369=Parametres!$G$2,$Q369=Parametres!$G$3),J369,D369)</f>
        <v>1301.52</v>
      </c>
      <c r="P369" s="655">
        <f>+IF(OR($Q369=Parametres!$G$2,$Q369=Parametres!$G$3),K369,E369)</f>
        <v>9110.64</v>
      </c>
      <c r="Q369" s="654" t="str">
        <f t="shared" si="183"/>
        <v>7-Dépenses</v>
      </c>
      <c r="R369" s="653" t="str">
        <f t="shared" si="184"/>
        <v>6187</v>
      </c>
      <c r="S369" s="654" t="str">
        <f t="shared" si="185"/>
        <v>_</v>
      </c>
      <c r="T369" s="656" t="str">
        <f>+VLOOKUP($L369,Data_Validation!$A:$D,1,0)</f>
        <v>6487</v>
      </c>
      <c r="U369" s="656" t="str">
        <f>+VLOOKUP($L369,Data_Validation!$A:$D,3,0)</f>
        <v>Service</v>
      </c>
      <c r="V369" s="656" t="str">
        <f>+VLOOKUP($L369,Data_Validation!$A:$D,4,0)</f>
        <v>Taxes foncières</v>
      </c>
      <c r="W369" s="656" t="str">
        <f>+VLOOKUP($L369,Data_Validation!$A:$E,5,0)</f>
        <v>$</v>
      </c>
      <c r="X369" s="656">
        <f>+VLOOKUP($L369,Data_Validation!$A:$F,6,0)</f>
        <v>0</v>
      </c>
    </row>
    <row r="370" spans="1:24" ht="15" customHeight="1">
      <c r="A370" s="1218" t="s">
        <v>1260</v>
      </c>
      <c r="B370" s="1218" t="s">
        <v>2529</v>
      </c>
      <c r="C370" s="1220">
        <v>5820.96</v>
      </c>
      <c r="D370" s="1220">
        <v>866.16</v>
      </c>
      <c r="E370" s="1220">
        <v>6687.12</v>
      </c>
      <c r="F370" s="1218" t="s">
        <v>1154</v>
      </c>
      <c r="G370" s="1218" t="s">
        <v>1222</v>
      </c>
      <c r="H370" s="1218" t="s">
        <v>3950</v>
      </c>
      <c r="I370" s="1202"/>
      <c r="J370" s="1202"/>
      <c r="K370" s="1202"/>
      <c r="L370" s="653" t="str">
        <f t="shared" si="181"/>
        <v>6493</v>
      </c>
      <c r="M370" s="654" t="str">
        <f t="shared" si="182"/>
        <v>AUTRE TAXES-SERVICE</v>
      </c>
      <c r="N370" s="655">
        <f>+IF(OR($Q370=Parametres!$G$2,$Q370=Parametres!$G$3),I370,C370)</f>
        <v>5820.96</v>
      </c>
      <c r="O370" s="655">
        <f>+IF(OR($Q370=Parametres!$G$2,$Q370=Parametres!$G$3),J370,D370)</f>
        <v>866.16</v>
      </c>
      <c r="P370" s="655">
        <f>+IF(OR($Q370=Parametres!$G$2,$Q370=Parametres!$G$3),K370,E370)</f>
        <v>6687.12</v>
      </c>
      <c r="Q370" s="654" t="str">
        <f t="shared" si="183"/>
        <v>7-Dépenses</v>
      </c>
      <c r="R370" s="653" t="str">
        <f t="shared" si="184"/>
        <v>6193</v>
      </c>
      <c r="S370" s="654" t="str">
        <f t="shared" si="185"/>
        <v>_</v>
      </c>
      <c r="T370" s="656" t="str">
        <f>+VLOOKUP($L370,Data_Validation!$A:$D,1,0)</f>
        <v>6493</v>
      </c>
      <c r="U370" s="656" t="str">
        <f>+VLOOKUP($L370,Data_Validation!$A:$D,3,0)</f>
        <v>Service</v>
      </c>
      <c r="V370" s="656" t="str">
        <f>+VLOOKUP($L370,Data_Validation!$A:$D,4,0)</f>
        <v>Taxes d`affaires</v>
      </c>
      <c r="W370" s="656" t="str">
        <f>+VLOOKUP($L370,Data_Validation!$A:$E,5,0)</f>
        <v>$</v>
      </c>
      <c r="X370" s="656">
        <f>+VLOOKUP($L370,Data_Validation!$A:$F,6,0)</f>
        <v>0</v>
      </c>
    </row>
    <row r="371" spans="1:24" ht="15" customHeight="1">
      <c r="A371" s="1218" t="s">
        <v>1261</v>
      </c>
      <c r="B371" s="1218" t="s">
        <v>2532</v>
      </c>
      <c r="C371" s="1220">
        <v>9589.91</v>
      </c>
      <c r="D371" s="1220">
        <v>2575.9899999999998</v>
      </c>
      <c r="E371" s="1220">
        <v>12165.9</v>
      </c>
      <c r="F371" s="1218" t="s">
        <v>1154</v>
      </c>
      <c r="G371" s="1218" t="s">
        <v>1224</v>
      </c>
      <c r="H371" s="1218" t="s">
        <v>3950</v>
      </c>
      <c r="I371" s="1202"/>
      <c r="J371" s="1202"/>
      <c r="K371" s="1202"/>
      <c r="L371" s="653" t="str">
        <f t="shared" si="181"/>
        <v>6494</v>
      </c>
      <c r="M371" s="654" t="str">
        <f t="shared" si="182"/>
        <v>FRAIS PROFESSIONNEL-SERVICE</v>
      </c>
      <c r="N371" s="655">
        <f>+IF(OR($Q371=Parametres!$G$2,$Q371=Parametres!$G$3),I371,C371)</f>
        <v>9589.91</v>
      </c>
      <c r="O371" s="655">
        <f>+IF(OR($Q371=Parametres!$G$2,$Q371=Parametres!$G$3),J371,D371)</f>
        <v>2575.9899999999998</v>
      </c>
      <c r="P371" s="655">
        <f>+IF(OR($Q371=Parametres!$G$2,$Q371=Parametres!$G$3),K371,E371)</f>
        <v>12165.9</v>
      </c>
      <c r="Q371" s="654" t="str">
        <f t="shared" si="183"/>
        <v>7-Dépenses</v>
      </c>
      <c r="R371" s="653" t="str">
        <f t="shared" si="184"/>
        <v>6194</v>
      </c>
      <c r="S371" s="654" t="str">
        <f t="shared" si="185"/>
        <v>_</v>
      </c>
      <c r="T371" s="656" t="str">
        <f>+VLOOKUP($L371,Data_Validation!$A:$D,1,0)</f>
        <v>6494</v>
      </c>
      <c r="U371" s="656" t="str">
        <f>+VLOOKUP($L371,Data_Validation!$A:$D,3,0)</f>
        <v>Service</v>
      </c>
      <c r="V371" s="656" t="str">
        <f>+VLOOKUP($L371,Data_Validation!$A:$D,4,0)</f>
        <v>Honoraires</v>
      </c>
      <c r="W371" s="656" t="str">
        <f>+VLOOKUP($L371,Data_Validation!$A:$E,5,0)</f>
        <v>$</v>
      </c>
      <c r="X371" s="656">
        <f>+VLOOKUP($L371,Data_Validation!$A:$F,6,0)</f>
        <v>0</v>
      </c>
    </row>
    <row r="372" spans="1:24" ht="15" customHeight="1">
      <c r="A372" s="1218" t="s">
        <v>1158</v>
      </c>
      <c r="B372" s="1218" t="s">
        <v>2535</v>
      </c>
      <c r="C372" s="1220">
        <v>12326.72</v>
      </c>
      <c r="D372" s="1220">
        <v>0</v>
      </c>
      <c r="E372" s="1220">
        <v>12326.72</v>
      </c>
      <c r="F372" s="1218" t="s">
        <v>1154</v>
      </c>
      <c r="G372" s="1218" t="s">
        <v>1242</v>
      </c>
      <c r="H372" s="1218" t="s">
        <v>3950</v>
      </c>
      <c r="I372" s="1202"/>
      <c r="J372" s="1202"/>
      <c r="K372" s="1202"/>
      <c r="L372" s="653" t="str">
        <f t="shared" ref="L372:L388" si="186">TEXT(B372,0)</f>
        <v>6503</v>
      </c>
      <c r="M372" s="654" t="str">
        <f t="shared" ref="M372:M388" si="187">+A372</f>
        <v>RELAT. A LA CLIENTELE &amp; AJUST.</v>
      </c>
      <c r="N372" s="655">
        <f>+IF(OR($Q372=Parametres!$G$2,$Q372=Parametres!$G$3),I372,C372)</f>
        <v>12326.72</v>
      </c>
      <c r="O372" s="655">
        <f>+IF(OR($Q372=Parametres!$G$2,$Q372=Parametres!$G$3),J372,D372)</f>
        <v>0</v>
      </c>
      <c r="P372" s="655">
        <f>+IF(OR($Q372=Parametres!$G$2,$Q372=Parametres!$G$3),K372,E372)</f>
        <v>12326.72</v>
      </c>
      <c r="Q372" s="654" t="str">
        <f t="shared" ref="Q372:Q388" si="188">+F372</f>
        <v>7-Dépenses</v>
      </c>
      <c r="R372" s="653" t="str">
        <f t="shared" ref="R372:R388" si="189">+G372</f>
        <v>6112</v>
      </c>
      <c r="S372" s="654" t="str">
        <f t="shared" ref="S372:S388" si="190">+H372</f>
        <v>_</v>
      </c>
      <c r="T372" s="656" t="str">
        <f>+VLOOKUP($L372,Data_Validation!$A:$D,1,0)</f>
        <v>6503</v>
      </c>
      <c r="U372" s="656" t="str">
        <f>+VLOOKUP($L372,Data_Validation!$A:$D,3,0)</f>
        <v>Carrosserie</v>
      </c>
      <c r="V372" s="656" t="str">
        <f>+VLOOKUP($L372,Data_Validation!$A:$D,4,0)</f>
        <v>Service gratuit 2</v>
      </c>
      <c r="W372" s="656" t="str">
        <f>+VLOOKUP($L372,Data_Validation!$A:$E,5,0)</f>
        <v>$</v>
      </c>
      <c r="X372" s="656">
        <f>+VLOOKUP($L372,Data_Validation!$A:$F,6,0)</f>
        <v>0</v>
      </c>
    </row>
    <row r="373" spans="1:24" ht="15" customHeight="1">
      <c r="A373" s="1218" t="s">
        <v>1166</v>
      </c>
      <c r="B373" s="1218" t="s">
        <v>2541</v>
      </c>
      <c r="C373" s="1220">
        <v>136.71</v>
      </c>
      <c r="D373" s="1220">
        <v>89.88</v>
      </c>
      <c r="E373" s="1220">
        <v>226.59</v>
      </c>
      <c r="F373" s="1218" t="s">
        <v>1154</v>
      </c>
      <c r="G373" s="1218" t="s">
        <v>1167</v>
      </c>
      <c r="H373" s="1218" t="s">
        <v>3950</v>
      </c>
      <c r="I373" s="1202"/>
      <c r="J373" s="1202"/>
      <c r="K373" s="1202"/>
      <c r="L373" s="653" t="str">
        <f t="shared" si="186"/>
        <v>6514</v>
      </c>
      <c r="M373" s="654" t="str">
        <f t="shared" si="187"/>
        <v>PUBLICITE</v>
      </c>
      <c r="N373" s="655">
        <f>+IF(OR($Q373=Parametres!$G$2,$Q373=Parametres!$G$3),I373,C373)</f>
        <v>136.71</v>
      </c>
      <c r="O373" s="655">
        <f>+IF(OR($Q373=Parametres!$G$2,$Q373=Parametres!$G$3),J373,D373)</f>
        <v>89.88</v>
      </c>
      <c r="P373" s="655">
        <f>+IF(OR($Q373=Parametres!$G$2,$Q373=Parametres!$G$3),K373,E373)</f>
        <v>226.59</v>
      </c>
      <c r="Q373" s="654" t="str">
        <f t="shared" si="188"/>
        <v>7-Dépenses</v>
      </c>
      <c r="R373" s="653" t="str">
        <f t="shared" si="189"/>
        <v>6114</v>
      </c>
      <c r="S373" s="654" t="str">
        <f t="shared" si="190"/>
        <v>_</v>
      </c>
      <c r="T373" s="656" t="str">
        <f>+VLOOKUP($L373,Data_Validation!$A:$D,1,0)</f>
        <v>6514</v>
      </c>
      <c r="U373" s="656" t="str">
        <f>+VLOOKUP($L373,Data_Validation!$A:$D,3,0)</f>
        <v>Carrosserie</v>
      </c>
      <c r="V373" s="656" t="str">
        <f>+VLOOKUP($L373,Data_Validation!$A:$D,4,0)</f>
        <v>Publicité 2</v>
      </c>
      <c r="W373" s="656" t="str">
        <f>+VLOOKUP($L373,Data_Validation!$A:$E,5,0)</f>
        <v>$</v>
      </c>
      <c r="X373" s="656">
        <f>+VLOOKUP($L373,Data_Validation!$A:$F,6,0)</f>
        <v>0</v>
      </c>
    </row>
    <row r="374" spans="1:24" ht="15.75" customHeight="1">
      <c r="A374" s="1218" t="s">
        <v>1169</v>
      </c>
      <c r="B374" s="1218" t="s">
        <v>2547</v>
      </c>
      <c r="C374" s="1220">
        <v>2246.8200000000002</v>
      </c>
      <c r="D374" s="1220">
        <v>313.20999999999998</v>
      </c>
      <c r="E374" s="1220">
        <v>2560.0300000000002</v>
      </c>
      <c r="F374" s="1218" t="s">
        <v>1154</v>
      </c>
      <c r="G374" s="1218" t="s">
        <v>1170</v>
      </c>
      <c r="H374" s="1218" t="s">
        <v>3950</v>
      </c>
      <c r="I374" s="1202"/>
      <c r="J374" s="1202"/>
      <c r="K374" s="1202"/>
      <c r="L374" s="653" t="str">
        <f t="shared" si="186"/>
        <v>6521</v>
      </c>
      <c r="M374" s="654" t="str">
        <f t="shared" si="187"/>
        <v>SALAIRES - PROPRIETAIRES</v>
      </c>
      <c r="N374" s="655">
        <f>+IF(OR($Q374=Parametres!$G$2,$Q374=Parametres!$G$3),I374,C374)</f>
        <v>2246.8200000000002</v>
      </c>
      <c r="O374" s="655">
        <f>+IF(OR($Q374=Parametres!$G$2,$Q374=Parametres!$G$3),J374,D374)</f>
        <v>313.20999999999998</v>
      </c>
      <c r="P374" s="655">
        <f>+IF(OR($Q374=Parametres!$G$2,$Q374=Parametres!$G$3),K374,E374)</f>
        <v>2560.0300000000002</v>
      </c>
      <c r="Q374" s="654" t="str">
        <f t="shared" si="188"/>
        <v>7-Dépenses</v>
      </c>
      <c r="R374" s="653" t="str">
        <f t="shared" si="189"/>
        <v>6121</v>
      </c>
      <c r="S374" s="654" t="str">
        <f t="shared" si="190"/>
        <v>_</v>
      </c>
      <c r="T374" s="656" t="str">
        <f>+VLOOKUP($L374,Data_Validation!$A:$D,1,0)</f>
        <v>6521</v>
      </c>
      <c r="U374" s="656" t="str">
        <f>+VLOOKUP($L374,Data_Validation!$A:$D,3,0)</f>
        <v>Carrosserie</v>
      </c>
      <c r="V374" s="656" t="str">
        <f>+VLOOKUP($L374,Data_Validation!$A:$D,4,0)</f>
        <v>Salaires propriétaire</v>
      </c>
      <c r="W374" s="656" t="str">
        <f>+VLOOKUP($L374,Data_Validation!$A:$E,5,0)</f>
        <v>$</v>
      </c>
      <c r="X374" s="656">
        <f>+VLOOKUP($L374,Data_Validation!$A:$F,6,0)</f>
        <v>0</v>
      </c>
    </row>
    <row r="375" spans="1:24" ht="15" customHeight="1">
      <c r="A375" s="1218" t="s">
        <v>1171</v>
      </c>
      <c r="B375" s="1218" t="s">
        <v>2550</v>
      </c>
      <c r="C375" s="1220">
        <v>5411.28</v>
      </c>
      <c r="D375" s="1220">
        <v>901.88</v>
      </c>
      <c r="E375" s="1220">
        <v>6313.16</v>
      </c>
      <c r="F375" s="1218" t="s">
        <v>1154</v>
      </c>
      <c r="G375" s="1218" t="s">
        <v>1172</v>
      </c>
      <c r="H375" s="1218" t="s">
        <v>3950</v>
      </c>
      <c r="I375" s="1202"/>
      <c r="J375" s="1202"/>
      <c r="K375" s="1202"/>
      <c r="L375" s="653" t="str">
        <f t="shared" si="186"/>
        <v>6522</v>
      </c>
      <c r="M375" s="654" t="str">
        <f t="shared" si="187"/>
        <v>SAL SUPERVISION / GERANT</v>
      </c>
      <c r="N375" s="655">
        <f>+IF(OR($Q375=Parametres!$G$2,$Q375=Parametres!$G$3),I375,C375)</f>
        <v>5411.28</v>
      </c>
      <c r="O375" s="655">
        <f>+IF(OR($Q375=Parametres!$G$2,$Q375=Parametres!$G$3),J375,D375)</f>
        <v>901.88</v>
      </c>
      <c r="P375" s="655">
        <f>+IF(OR($Q375=Parametres!$G$2,$Q375=Parametres!$G$3),K375,E375)</f>
        <v>6313.16</v>
      </c>
      <c r="Q375" s="654" t="str">
        <f t="shared" si="188"/>
        <v>7-Dépenses</v>
      </c>
      <c r="R375" s="653" t="str">
        <f t="shared" si="189"/>
        <v>6122</v>
      </c>
      <c r="S375" s="654" t="str">
        <f t="shared" si="190"/>
        <v>_</v>
      </c>
      <c r="T375" s="656" t="str">
        <f>+VLOOKUP($L375,Data_Validation!$A:$D,1,0)</f>
        <v>6522</v>
      </c>
      <c r="U375" s="656" t="str">
        <f>+VLOOKUP($L375,Data_Validation!$A:$D,3,0)</f>
        <v>Carrosserie</v>
      </c>
      <c r="V375" s="656" t="str">
        <f>+VLOOKUP($L375,Data_Validation!$A:$D,4,0)</f>
        <v>Salaires cadres</v>
      </c>
      <c r="W375" s="656" t="str">
        <f>+VLOOKUP($L375,Data_Validation!$A:$E,5,0)</f>
        <v>$</v>
      </c>
      <c r="X375" s="656">
        <f>+VLOOKUP($L375,Data_Validation!$A:$F,6,0)</f>
        <v>0</v>
      </c>
    </row>
    <row r="376" spans="1:24" ht="15" customHeight="1">
      <c r="A376" s="1218" t="s">
        <v>1244</v>
      </c>
      <c r="B376" s="1218" t="s">
        <v>2553</v>
      </c>
      <c r="C376" s="1220">
        <v>24222.080000000002</v>
      </c>
      <c r="D376" s="1220">
        <v>1523.66</v>
      </c>
      <c r="E376" s="1220">
        <v>25745.74</v>
      </c>
      <c r="F376" s="1218" t="s">
        <v>1154</v>
      </c>
      <c r="G376" s="1218" t="s">
        <v>1174</v>
      </c>
      <c r="H376" s="1218" t="s">
        <v>3950</v>
      </c>
      <c r="I376" s="1202"/>
      <c r="J376" s="1202"/>
      <c r="K376" s="1202"/>
      <c r="L376" s="653" t="str">
        <f t="shared" si="186"/>
        <v>6523</v>
      </c>
      <c r="M376" s="654" t="str">
        <f t="shared" si="187"/>
        <v>SAL. &amp; RENUM. CLERICAL</v>
      </c>
      <c r="N376" s="655">
        <f>+IF(OR($Q376=Parametres!$G$2,$Q376=Parametres!$G$3),I376,C376)</f>
        <v>24222.080000000002</v>
      </c>
      <c r="O376" s="655">
        <f>+IF(OR($Q376=Parametres!$G$2,$Q376=Parametres!$G$3),J376,D376)</f>
        <v>1523.66</v>
      </c>
      <c r="P376" s="655">
        <f>+IF(OR($Q376=Parametres!$G$2,$Q376=Parametres!$G$3),K376,E376)</f>
        <v>25745.74</v>
      </c>
      <c r="Q376" s="654" t="str">
        <f t="shared" si="188"/>
        <v>7-Dépenses</v>
      </c>
      <c r="R376" s="653" t="str">
        <f t="shared" si="189"/>
        <v>6123</v>
      </c>
      <c r="S376" s="654" t="str">
        <f t="shared" si="190"/>
        <v>_</v>
      </c>
      <c r="T376" s="656" t="str">
        <f>+VLOOKUP($L376,Data_Validation!$A:$D,1,0)</f>
        <v>6523</v>
      </c>
      <c r="U376" s="656" t="str">
        <f>+VLOOKUP($L376,Data_Validation!$A:$D,3,0)</f>
        <v>Carrosserie</v>
      </c>
      <c r="V376" s="656" t="str">
        <f>+VLOOKUP($L376,Data_Validation!$A:$D,4,0)</f>
        <v>Salaires commis</v>
      </c>
      <c r="W376" s="656" t="str">
        <f>+VLOOKUP($L376,Data_Validation!$A:$E,5,0)</f>
        <v>$</v>
      </c>
      <c r="X376" s="656">
        <f>+VLOOKUP($L376,Data_Validation!$A:$F,6,0)</f>
        <v>0</v>
      </c>
    </row>
    <row r="377" spans="1:24" ht="15" customHeight="1">
      <c r="A377" s="1218" t="s">
        <v>1175</v>
      </c>
      <c r="B377" s="1218" t="s">
        <v>2556</v>
      </c>
      <c r="C377" s="1220">
        <v>0.48</v>
      </c>
      <c r="D377" s="1220">
        <v>0.08</v>
      </c>
      <c r="E377" s="1220">
        <v>0.56000000000000005</v>
      </c>
      <c r="F377" s="1218" t="s">
        <v>1154</v>
      </c>
      <c r="G377" s="1218" t="s">
        <v>1176</v>
      </c>
      <c r="H377" s="1218" t="s">
        <v>3950</v>
      </c>
      <c r="I377" s="1202"/>
      <c r="J377" s="1202"/>
      <c r="K377" s="1202"/>
      <c r="L377" s="653" t="str">
        <f t="shared" si="186"/>
        <v>6524</v>
      </c>
      <c r="M377" s="654" t="str">
        <f t="shared" si="187"/>
        <v>SALAIRES &amp; RENUM. - AUTRES</v>
      </c>
      <c r="N377" s="655">
        <f>+IF(OR($Q377=Parametres!$G$2,$Q377=Parametres!$G$3),I377,C377)</f>
        <v>0.48</v>
      </c>
      <c r="O377" s="655">
        <f>+IF(OR($Q377=Parametres!$G$2,$Q377=Parametres!$G$3),J377,D377)</f>
        <v>0.08</v>
      </c>
      <c r="P377" s="655">
        <f>+IF(OR($Q377=Parametres!$G$2,$Q377=Parametres!$G$3),K377,E377)</f>
        <v>0.56000000000000005</v>
      </c>
      <c r="Q377" s="654" t="str">
        <f t="shared" si="188"/>
        <v>7-Dépenses</v>
      </c>
      <c r="R377" s="653" t="str">
        <f t="shared" si="189"/>
        <v>6124</v>
      </c>
      <c r="S377" s="654" t="str">
        <f t="shared" si="190"/>
        <v>_</v>
      </c>
      <c r="T377" s="656" t="str">
        <f>+VLOOKUP($L377,Data_Validation!$A:$D,1,0)</f>
        <v>6524</v>
      </c>
      <c r="U377" s="656" t="str">
        <f>+VLOOKUP($L377,Data_Validation!$A:$D,3,0)</f>
        <v>Carrosserie</v>
      </c>
      <c r="V377" s="656" t="str">
        <f>+VLOOKUP($L377,Data_Validation!$A:$D,4,0)</f>
        <v>Salaires autres</v>
      </c>
      <c r="W377" s="656" t="str">
        <f>+VLOOKUP($L377,Data_Validation!$A:$E,5,0)</f>
        <v>$</v>
      </c>
      <c r="X377" s="656">
        <f>+VLOOKUP($L377,Data_Validation!$A:$F,6,0)</f>
        <v>0</v>
      </c>
    </row>
    <row r="378" spans="1:24" ht="15" customHeight="1">
      <c r="A378" s="1218" t="s">
        <v>1229</v>
      </c>
      <c r="B378" s="1218" t="s">
        <v>2562</v>
      </c>
      <c r="C378" s="1220">
        <v>2691.43</v>
      </c>
      <c r="D378" s="1220">
        <v>810.54</v>
      </c>
      <c r="E378" s="1220">
        <v>3501.97</v>
      </c>
      <c r="F378" s="1218" t="s">
        <v>1154</v>
      </c>
      <c r="G378" s="1218" t="s">
        <v>1178</v>
      </c>
      <c r="H378" s="1218" t="s">
        <v>3950</v>
      </c>
      <c r="I378" s="1202"/>
      <c r="J378" s="1202"/>
      <c r="K378" s="1202"/>
      <c r="L378" s="653" t="str">
        <f t="shared" si="186"/>
        <v>6529</v>
      </c>
      <c r="M378" s="654" t="str">
        <f t="shared" si="187"/>
        <v>ABS.,VACANCES &amp; SAL. JOURS FER</v>
      </c>
      <c r="N378" s="655">
        <f>+IF(OR($Q378=Parametres!$G$2,$Q378=Parametres!$G$3),I378,C378)</f>
        <v>2691.43</v>
      </c>
      <c r="O378" s="655">
        <f>+IF(OR($Q378=Parametres!$G$2,$Q378=Parametres!$G$3),J378,D378)</f>
        <v>810.54</v>
      </c>
      <c r="P378" s="655">
        <f>+IF(OR($Q378=Parametres!$G$2,$Q378=Parametres!$G$3),K378,E378)</f>
        <v>3501.97</v>
      </c>
      <c r="Q378" s="654" t="str">
        <f t="shared" si="188"/>
        <v>7-Dépenses</v>
      </c>
      <c r="R378" s="653" t="str">
        <f t="shared" si="189"/>
        <v>6129</v>
      </c>
      <c r="S378" s="654" t="str">
        <f t="shared" si="190"/>
        <v>_</v>
      </c>
      <c r="T378" s="656" t="str">
        <f>+VLOOKUP($L378,Data_Validation!$A:$D,1,0)</f>
        <v>6529</v>
      </c>
      <c r="U378" s="656" t="str">
        <f>+VLOOKUP($L378,Data_Validation!$A:$D,3,0)</f>
        <v>Carrosserie</v>
      </c>
      <c r="V378" s="656" t="str">
        <f>+VLOOKUP($L378,Data_Validation!$A:$D,4,0)</f>
        <v>Salaires en absences</v>
      </c>
      <c r="W378" s="656" t="str">
        <f>+VLOOKUP($L378,Data_Validation!$A:$E,5,0)</f>
        <v>$</v>
      </c>
      <c r="X378" s="656">
        <f>+VLOOKUP($L378,Data_Validation!$A:$F,6,0)</f>
        <v>0</v>
      </c>
    </row>
    <row r="379" spans="1:24" ht="15.75" customHeight="1">
      <c r="A379" s="1218" t="s">
        <v>1179</v>
      </c>
      <c r="B379" s="1218" t="s">
        <v>2565</v>
      </c>
      <c r="C379" s="1220">
        <v>1351.71</v>
      </c>
      <c r="D379" s="1220">
        <v>299.07</v>
      </c>
      <c r="E379" s="1220">
        <v>1650.78</v>
      </c>
      <c r="F379" s="1218" t="s">
        <v>1154</v>
      </c>
      <c r="G379" s="1218" t="s">
        <v>1180</v>
      </c>
      <c r="H379" s="1218" t="s">
        <v>3950</v>
      </c>
      <c r="I379" s="1202"/>
      <c r="J379" s="1202"/>
      <c r="K379" s="1202"/>
      <c r="L379" s="653" t="str">
        <f t="shared" si="186"/>
        <v>6531</v>
      </c>
      <c r="M379" s="654" t="str">
        <f t="shared" si="187"/>
        <v>CSST</v>
      </c>
      <c r="N379" s="655">
        <f>+IF(OR($Q379=Parametres!$G$2,$Q379=Parametres!$G$3),I379,C379)</f>
        <v>1351.71</v>
      </c>
      <c r="O379" s="655">
        <f>+IF(OR($Q379=Parametres!$G$2,$Q379=Parametres!$G$3),J379,D379)</f>
        <v>299.07</v>
      </c>
      <c r="P379" s="655">
        <f>+IF(OR($Q379=Parametres!$G$2,$Q379=Parametres!$G$3),K379,E379)</f>
        <v>1650.78</v>
      </c>
      <c r="Q379" s="654" t="str">
        <f t="shared" si="188"/>
        <v>7-Dépenses</v>
      </c>
      <c r="R379" s="653" t="str">
        <f t="shared" si="189"/>
        <v>6131</v>
      </c>
      <c r="S379" s="654" t="str">
        <f t="shared" si="190"/>
        <v>_</v>
      </c>
      <c r="T379" s="656" t="str">
        <f>+VLOOKUP($L379,Data_Validation!$A:$D,1,0)</f>
        <v>6531</v>
      </c>
      <c r="U379" s="656" t="str">
        <f>+VLOOKUP($L379,Data_Validation!$A:$D,3,0)</f>
        <v>Carrosserie</v>
      </c>
      <c r="V379" s="656" t="str">
        <f>+VLOOKUP($L379,Data_Validation!$A:$D,4,0)</f>
        <v>Csst</v>
      </c>
      <c r="W379" s="656" t="str">
        <f>+VLOOKUP($L379,Data_Validation!$A:$E,5,0)</f>
        <v>$</v>
      </c>
      <c r="X379" s="656">
        <f>+VLOOKUP($L379,Data_Validation!$A:$F,6,0)</f>
        <v>0</v>
      </c>
    </row>
    <row r="380" spans="1:24" ht="15" customHeight="1">
      <c r="A380" s="1218" t="s">
        <v>1181</v>
      </c>
      <c r="B380" s="1218" t="s">
        <v>2568</v>
      </c>
      <c r="C380" s="1220">
        <v>8331.9599999999991</v>
      </c>
      <c r="D380" s="1220">
        <v>1273.5999999999999</v>
      </c>
      <c r="E380" s="1220">
        <v>9605.56</v>
      </c>
      <c r="F380" s="1218" t="s">
        <v>1154</v>
      </c>
      <c r="G380" s="1218" t="s">
        <v>1182</v>
      </c>
      <c r="H380" s="1218" t="s">
        <v>3950</v>
      </c>
      <c r="I380" s="1202"/>
      <c r="J380" s="1202"/>
      <c r="K380" s="1202"/>
      <c r="L380" s="653" t="str">
        <f t="shared" si="186"/>
        <v>6532</v>
      </c>
      <c r="M380" s="654" t="str">
        <f t="shared" si="187"/>
        <v>RRQ RAMQ AC</v>
      </c>
      <c r="N380" s="655">
        <f>+IF(OR($Q380=Parametres!$G$2,$Q380=Parametres!$G$3),I380,C380)</f>
        <v>8331.9599999999991</v>
      </c>
      <c r="O380" s="659">
        <f>+IF(OR($Q380=Parametres!$G$2,$Q380=Parametres!$G$3),J380,D380)</f>
        <v>1273.5999999999999</v>
      </c>
      <c r="P380" s="655">
        <f>+IF(OR($Q380=Parametres!$G$2,$Q380=Parametres!$G$3),K380,E380)</f>
        <v>9605.56</v>
      </c>
      <c r="Q380" s="654" t="str">
        <f t="shared" si="188"/>
        <v>7-Dépenses</v>
      </c>
      <c r="R380" s="653" t="str">
        <f t="shared" si="189"/>
        <v>6132</v>
      </c>
      <c r="S380" s="654" t="str">
        <f t="shared" si="190"/>
        <v>_</v>
      </c>
      <c r="T380" s="656" t="str">
        <f>+VLOOKUP($L380,Data_Validation!$A:$D,1,0)</f>
        <v>6532</v>
      </c>
      <c r="U380" s="656" t="str">
        <f>+VLOOKUP($L380,Data_Validation!$A:$D,3,0)</f>
        <v>Carrosserie</v>
      </c>
      <c r="V380" s="656" t="str">
        <f>+VLOOKUP($L380,Data_Validation!$A:$D,4,0)</f>
        <v>Déduction à la source</v>
      </c>
      <c r="W380" s="656" t="str">
        <f>+VLOOKUP($L380,Data_Validation!$A:$E,5,0)</f>
        <v>$</v>
      </c>
      <c r="X380" s="656">
        <f>+VLOOKUP($L380,Data_Validation!$A:$F,6,0)</f>
        <v>0</v>
      </c>
    </row>
    <row r="381" spans="1:24" ht="15" customHeight="1">
      <c r="A381" s="1218" t="s">
        <v>1264</v>
      </c>
      <c r="B381" s="1218" t="s">
        <v>3397</v>
      </c>
      <c r="C381" s="1220">
        <v>1093.5</v>
      </c>
      <c r="D381" s="1220">
        <v>172.43</v>
      </c>
      <c r="E381" s="1220">
        <v>1265.93</v>
      </c>
      <c r="F381" s="1218" t="s">
        <v>1154</v>
      </c>
      <c r="G381" s="1218" t="s">
        <v>1184</v>
      </c>
      <c r="H381" s="1218" t="s">
        <v>3950</v>
      </c>
      <c r="I381" s="1202"/>
      <c r="J381" s="1202"/>
      <c r="K381" s="1202"/>
      <c r="L381" s="653" t="str">
        <f t="shared" si="186"/>
        <v>6533</v>
      </c>
      <c r="M381" s="654" t="str">
        <f t="shared" si="187"/>
        <v>FOND PENSION - CARROSSERIE</v>
      </c>
      <c r="N381" s="655">
        <f>+IF(OR($Q381=Parametres!$G$2,$Q381=Parametres!$G$3),I381,C381)</f>
        <v>1093.5</v>
      </c>
      <c r="O381" s="655">
        <f>+IF(OR($Q381=Parametres!$G$2,$Q381=Parametres!$G$3),J381,D381)</f>
        <v>172.43</v>
      </c>
      <c r="P381" s="655">
        <f>+IF(OR($Q381=Parametres!$G$2,$Q381=Parametres!$G$3),K381,E381)</f>
        <v>1265.93</v>
      </c>
      <c r="Q381" s="654" t="str">
        <f t="shared" si="188"/>
        <v>7-Dépenses</v>
      </c>
      <c r="R381" s="653" t="str">
        <f t="shared" si="189"/>
        <v>6133</v>
      </c>
      <c r="S381" s="654" t="str">
        <f t="shared" si="190"/>
        <v>_</v>
      </c>
      <c r="T381" s="656" t="str">
        <f>+VLOOKUP($L381,Data_Validation!$A:$D,1,0)</f>
        <v>6533</v>
      </c>
      <c r="U381" s="656" t="str">
        <f>+VLOOKUP($L381,Data_Validation!$A:$D,3,0)</f>
        <v>Carrosserie</v>
      </c>
      <c r="V381" s="656" t="str">
        <f>+VLOOKUP($L381,Data_Validation!$A:$D,4,0)</f>
        <v>Bénéfices marginaux</v>
      </c>
      <c r="W381" s="656" t="str">
        <f>+VLOOKUP($L381,Data_Validation!$A:$E,5,0)</f>
        <v>$</v>
      </c>
      <c r="X381" s="656">
        <f>+VLOOKUP($L381,Data_Validation!$A:$F,6,0)</f>
        <v>0</v>
      </c>
    </row>
    <row r="382" spans="1:24" ht="15" customHeight="1">
      <c r="A382" s="1218" t="s">
        <v>1231</v>
      </c>
      <c r="B382" s="1218" t="s">
        <v>2571</v>
      </c>
      <c r="C382" s="1220">
        <v>632.51</v>
      </c>
      <c r="D382" s="1220">
        <v>-61.02</v>
      </c>
      <c r="E382" s="1220">
        <v>571.49</v>
      </c>
      <c r="F382" s="1218" t="s">
        <v>1154</v>
      </c>
      <c r="G382" s="1218" t="s">
        <v>1186</v>
      </c>
      <c r="H382" s="1218" t="s">
        <v>3950</v>
      </c>
      <c r="I382" s="1202"/>
      <c r="J382" s="1202"/>
      <c r="K382" s="1202"/>
      <c r="L382" s="653" t="str">
        <f t="shared" si="186"/>
        <v>6539</v>
      </c>
      <c r="M382" s="654" t="str">
        <f t="shared" si="187"/>
        <v>ASSURANCE GROUPE</v>
      </c>
      <c r="N382" s="655">
        <f>+IF(OR($Q382=Parametres!$G$2,$Q382=Parametres!$G$3),I382,C382)</f>
        <v>632.51</v>
      </c>
      <c r="O382" s="655">
        <f>+IF(OR($Q382=Parametres!$G$2,$Q382=Parametres!$G$3),J382,D382)</f>
        <v>-61.02</v>
      </c>
      <c r="P382" s="655">
        <f>+IF(OR($Q382=Parametres!$G$2,$Q382=Parametres!$G$3),K382,E382)</f>
        <v>571.49</v>
      </c>
      <c r="Q382" s="654" t="str">
        <f t="shared" si="188"/>
        <v>7-Dépenses</v>
      </c>
      <c r="R382" s="653" t="str">
        <f t="shared" si="189"/>
        <v>6139</v>
      </c>
      <c r="S382" s="654" t="str">
        <f t="shared" si="190"/>
        <v>_</v>
      </c>
      <c r="T382" s="656" t="str">
        <f>+VLOOKUP($L382,Data_Validation!$A:$D,1,0)</f>
        <v>6539</v>
      </c>
      <c r="U382" s="656" t="str">
        <f>+VLOOKUP($L382,Data_Validation!$A:$D,3,0)</f>
        <v>Carrosserie</v>
      </c>
      <c r="V382" s="656" t="str">
        <f>+VLOOKUP($L382,Data_Validation!$A:$D,4,0)</f>
        <v>Bénéfices marginaux</v>
      </c>
      <c r="W382" s="656" t="str">
        <f>+VLOOKUP($L382,Data_Validation!$A:$E,5,0)</f>
        <v>$</v>
      </c>
      <c r="X382" s="656">
        <f>+VLOOKUP($L382,Data_Validation!$A:$F,6,0)</f>
        <v>0</v>
      </c>
    </row>
    <row r="383" spans="1:24" ht="15.75" customHeight="1">
      <c r="A383" s="1218" t="s">
        <v>1249</v>
      </c>
      <c r="B383" s="1218" t="s">
        <v>3686</v>
      </c>
      <c r="C383" s="1220">
        <v>651.13</v>
      </c>
      <c r="D383" s="1220">
        <v>0</v>
      </c>
      <c r="E383" s="1220">
        <v>651.13</v>
      </c>
      <c r="F383" s="1218" t="s">
        <v>1154</v>
      </c>
      <c r="G383" s="1218" t="s">
        <v>1242</v>
      </c>
      <c r="H383" s="1218" t="s">
        <v>3950</v>
      </c>
      <c r="I383" s="1202"/>
      <c r="J383" s="1202"/>
      <c r="K383" s="1202"/>
      <c r="L383" s="653" t="str">
        <f t="shared" si="186"/>
        <v>6541</v>
      </c>
      <c r="M383" s="654" t="str">
        <f t="shared" si="187"/>
        <v>RETOURS</v>
      </c>
      <c r="N383" s="655">
        <f>+IF(OR($Q383=Parametres!$G$2,$Q383=Parametres!$G$3),I383,C383)</f>
        <v>651.13</v>
      </c>
      <c r="O383" s="655">
        <f>+IF(OR($Q383=Parametres!$G$2,$Q383=Parametres!$G$3),J383,D383)</f>
        <v>0</v>
      </c>
      <c r="P383" s="655">
        <f>+IF(OR($Q383=Parametres!$G$2,$Q383=Parametres!$G$3),K383,E383)</f>
        <v>651.13</v>
      </c>
      <c r="Q383" s="654" t="str">
        <f t="shared" si="188"/>
        <v>7-Dépenses</v>
      </c>
      <c r="R383" s="653" t="str">
        <f t="shared" si="189"/>
        <v>6112</v>
      </c>
      <c r="S383" s="654" t="str">
        <f t="shared" si="190"/>
        <v>_</v>
      </c>
      <c r="T383" s="656" t="str">
        <f>+VLOOKUP($L383,Data_Validation!$A:$D,1,0)</f>
        <v>6541</v>
      </c>
      <c r="U383" s="656" t="str">
        <f>+VLOOKUP($L383,Data_Validation!$A:$D,3,0)</f>
        <v>Service</v>
      </c>
      <c r="V383" s="656" t="str">
        <f>+VLOOKUP($L383,Data_Validation!$A:$D,4,0)</f>
        <v>Service gratuit 2</v>
      </c>
      <c r="W383" s="656" t="str">
        <f>+VLOOKUP($L383,Data_Validation!$A:$E,5,0)</f>
        <v>$</v>
      </c>
      <c r="X383" s="656">
        <f>+VLOOKUP($L383,Data_Validation!$A:$F,6,0)</f>
        <v>0</v>
      </c>
    </row>
    <row r="384" spans="1:24" ht="15" customHeight="1">
      <c r="A384" s="1218" t="s">
        <v>1191</v>
      </c>
      <c r="B384" s="1218" t="s">
        <v>2583</v>
      </c>
      <c r="C384" s="1220">
        <v>272.77</v>
      </c>
      <c r="D384" s="1220">
        <v>131.96</v>
      </c>
      <c r="E384" s="1220">
        <v>404.73</v>
      </c>
      <c r="F384" s="1218" t="s">
        <v>1154</v>
      </c>
      <c r="G384" s="1218" t="s">
        <v>1192</v>
      </c>
      <c r="H384" s="1218" t="s">
        <v>3950</v>
      </c>
      <c r="I384" s="1202"/>
      <c r="J384" s="1202"/>
      <c r="K384" s="1202"/>
      <c r="L384" s="653" t="str">
        <f t="shared" si="186"/>
        <v>6544</v>
      </c>
      <c r="M384" s="654" t="str">
        <f t="shared" si="187"/>
        <v>FORMATION</v>
      </c>
      <c r="N384" s="655">
        <f>+IF(OR($Q384=Parametres!$G$2,$Q384=Parametres!$G$3),I384,C384)</f>
        <v>272.77</v>
      </c>
      <c r="O384" s="655">
        <f>+IF(OR($Q384=Parametres!$G$2,$Q384=Parametres!$G$3),J384,D384)</f>
        <v>131.96</v>
      </c>
      <c r="P384" s="655">
        <f>+IF(OR($Q384=Parametres!$G$2,$Q384=Parametres!$G$3),K384,E384)</f>
        <v>404.73</v>
      </c>
      <c r="Q384" s="654" t="str">
        <f t="shared" si="188"/>
        <v>7-Dépenses</v>
      </c>
      <c r="R384" s="653" t="str">
        <f t="shared" si="189"/>
        <v>6144</v>
      </c>
      <c r="S384" s="654" t="str">
        <f t="shared" si="190"/>
        <v>_</v>
      </c>
      <c r="T384" s="656" t="str">
        <f>+VLOOKUP($L384,Data_Validation!$A:$D,1,0)</f>
        <v>6544</v>
      </c>
      <c r="U384" s="656" t="str">
        <f>+VLOOKUP($L384,Data_Validation!$A:$D,3,0)</f>
        <v>Carrosserie</v>
      </c>
      <c r="V384" s="656" t="str">
        <f>+VLOOKUP($L384,Data_Validation!$A:$D,4,0)</f>
        <v>Formation</v>
      </c>
      <c r="W384" s="656" t="str">
        <f>+VLOOKUP($L384,Data_Validation!$A:$E,5,0)</f>
        <v>$</v>
      </c>
      <c r="X384" s="656">
        <f>+VLOOKUP($L384,Data_Validation!$A:$F,6,0)</f>
        <v>0</v>
      </c>
    </row>
    <row r="385" spans="1:24" ht="15" customHeight="1">
      <c r="A385" s="1218" t="s">
        <v>1193</v>
      </c>
      <c r="B385" s="1218" t="s">
        <v>2586</v>
      </c>
      <c r="C385" s="1220">
        <v>986.9</v>
      </c>
      <c r="D385" s="1220">
        <v>157.77000000000001</v>
      </c>
      <c r="E385" s="1220">
        <v>1144.67</v>
      </c>
      <c r="F385" s="1218" t="s">
        <v>1154</v>
      </c>
      <c r="G385" s="1218" t="s">
        <v>1194</v>
      </c>
      <c r="H385" s="1218" t="s">
        <v>3950</v>
      </c>
      <c r="I385" s="1202"/>
      <c r="J385" s="1202"/>
      <c r="K385" s="1202"/>
      <c r="L385" s="653" t="str">
        <f t="shared" si="186"/>
        <v>6545</v>
      </c>
      <c r="M385" s="654" t="str">
        <f t="shared" si="187"/>
        <v>VEHICULE DE COMPAGNIE - DEPENS</v>
      </c>
      <c r="N385" s="655">
        <f>+IF(OR($Q385=Parametres!$G$2,$Q385=Parametres!$G$3),I385,C385)</f>
        <v>986.9</v>
      </c>
      <c r="O385" s="655">
        <f>+IF(OR($Q385=Parametres!$G$2,$Q385=Parametres!$G$3),J385,D385)</f>
        <v>157.77000000000001</v>
      </c>
      <c r="P385" s="655">
        <f>+IF(OR($Q385=Parametres!$G$2,$Q385=Parametres!$G$3),K385,E385)</f>
        <v>1144.67</v>
      </c>
      <c r="Q385" s="654" t="str">
        <f t="shared" si="188"/>
        <v>7-Dépenses</v>
      </c>
      <c r="R385" s="653" t="str">
        <f t="shared" si="189"/>
        <v>6145</v>
      </c>
      <c r="S385" s="654" t="str">
        <f t="shared" si="190"/>
        <v>_</v>
      </c>
      <c r="T385" s="656" t="str">
        <f>+VLOOKUP($L385,Data_Validation!$A:$D,1,0)</f>
        <v>6545</v>
      </c>
      <c r="U385" s="656" t="str">
        <f>+VLOOKUP($L385,Data_Validation!$A:$D,3,0)</f>
        <v>Carrosserie</v>
      </c>
      <c r="V385" s="656" t="str">
        <f>+VLOOKUP($L385,Data_Validation!$A:$D,4,0)</f>
        <v>Frais véhicules de cie</v>
      </c>
      <c r="W385" s="656" t="str">
        <f>+VLOOKUP($L385,Data_Validation!$A:$E,5,0)</f>
        <v>$</v>
      </c>
      <c r="X385" s="656">
        <f>+VLOOKUP($L385,Data_Validation!$A:$F,6,0)</f>
        <v>0</v>
      </c>
    </row>
    <row r="386" spans="1:24" ht="15" customHeight="1">
      <c r="A386" s="1218" t="s">
        <v>1195</v>
      </c>
      <c r="B386" s="1218" t="s">
        <v>2589</v>
      </c>
      <c r="C386" s="1220">
        <v>439.75</v>
      </c>
      <c r="D386" s="1220">
        <v>11.94</v>
      </c>
      <c r="E386" s="1220">
        <v>451.69</v>
      </c>
      <c r="F386" s="1218" t="s">
        <v>1154</v>
      </c>
      <c r="G386" s="1218" t="s">
        <v>1196</v>
      </c>
      <c r="H386" s="1218" t="s">
        <v>3950</v>
      </c>
      <c r="I386" s="1202"/>
      <c r="J386" s="1202"/>
      <c r="K386" s="1202"/>
      <c r="L386" s="653" t="str">
        <f t="shared" si="186"/>
        <v>6547</v>
      </c>
      <c r="M386" s="654" t="str">
        <f t="shared" si="187"/>
        <v>FRET/EXPRESS/TRANS. PAR CAMION</v>
      </c>
      <c r="N386" s="655">
        <f>+IF(OR($Q386=Parametres!$G$2,$Q386=Parametres!$G$3),I386,C386)</f>
        <v>439.75</v>
      </c>
      <c r="O386" s="655">
        <f>+IF(OR($Q386=Parametres!$G$2,$Q386=Parametres!$G$3),J386,D386)</f>
        <v>11.94</v>
      </c>
      <c r="P386" s="655">
        <f>+IF(OR($Q386=Parametres!$G$2,$Q386=Parametres!$G$3),K386,E386)</f>
        <v>451.69</v>
      </c>
      <c r="Q386" s="654" t="str">
        <f t="shared" si="188"/>
        <v>7-Dépenses</v>
      </c>
      <c r="R386" s="653" t="str">
        <f t="shared" si="189"/>
        <v>6147</v>
      </c>
      <c r="S386" s="654" t="str">
        <f t="shared" si="190"/>
        <v>_</v>
      </c>
      <c r="T386" s="656" t="str">
        <f>+VLOOKUP($L386,Data_Validation!$A:$D,1,0)</f>
        <v>6547</v>
      </c>
      <c r="U386" s="656" t="str">
        <f>+VLOOKUP($L386,Data_Validation!$A:$D,3,0)</f>
        <v>Carrosserie</v>
      </c>
      <c r="V386" s="656" t="str">
        <f>+VLOOKUP($L386,Data_Validation!$A:$D,4,0)</f>
        <v>Frais postaux</v>
      </c>
      <c r="W386" s="656" t="str">
        <f>+VLOOKUP($L386,Data_Validation!$A:$E,5,0)</f>
        <v>$</v>
      </c>
      <c r="X386" s="656">
        <f>+VLOOKUP($L386,Data_Validation!$A:$F,6,0)</f>
        <v>0</v>
      </c>
    </row>
    <row r="387" spans="1:24" ht="15.75" customHeight="1">
      <c r="A387" s="1218" t="s">
        <v>1197</v>
      </c>
      <c r="B387" s="1218" t="s">
        <v>2594</v>
      </c>
      <c r="C387" s="1220">
        <v>10387.41</v>
      </c>
      <c r="D387" s="1220">
        <v>1544.79</v>
      </c>
      <c r="E387" s="1220">
        <v>11932.2</v>
      </c>
      <c r="F387" s="1218" t="s">
        <v>1154</v>
      </c>
      <c r="G387" s="1218" t="s">
        <v>1198</v>
      </c>
      <c r="H387" s="1218" t="s">
        <v>3950</v>
      </c>
      <c r="I387" s="1202"/>
      <c r="J387" s="1202"/>
      <c r="K387" s="1202"/>
      <c r="L387" s="653" t="str">
        <f t="shared" si="186"/>
        <v>6551</v>
      </c>
      <c r="M387" s="654" t="str">
        <f t="shared" si="187"/>
        <v>DEP. DU TRAITEMENT DES DONNEES</v>
      </c>
      <c r="N387" s="655">
        <f>+IF(OR($Q387=Parametres!$G$2,$Q387=Parametres!$G$3),I387,C387)</f>
        <v>10387.41</v>
      </c>
      <c r="O387" s="655">
        <f>+IF(OR($Q387=Parametres!$G$2,$Q387=Parametres!$G$3),J387,D387)</f>
        <v>1544.79</v>
      </c>
      <c r="P387" s="655">
        <f>+IF(OR($Q387=Parametres!$G$2,$Q387=Parametres!$G$3),K387,E387)</f>
        <v>11932.2</v>
      </c>
      <c r="Q387" s="654" t="str">
        <f t="shared" si="188"/>
        <v>7-Dépenses</v>
      </c>
      <c r="R387" s="653" t="str">
        <f t="shared" si="189"/>
        <v>6151</v>
      </c>
      <c r="S387" s="654" t="str">
        <f t="shared" si="190"/>
        <v>_</v>
      </c>
      <c r="T387" s="656" t="str">
        <f>+VLOOKUP($L387,Data_Validation!$A:$D,1,0)</f>
        <v>6551</v>
      </c>
      <c r="U387" s="656" t="str">
        <f>+VLOOKUP($L387,Data_Validation!$A:$D,3,0)</f>
        <v>Carrosserie</v>
      </c>
      <c r="V387" s="656" t="str">
        <f>+VLOOKUP($L387,Data_Validation!$A:$D,4,0)</f>
        <v>Informatique</v>
      </c>
      <c r="W387" s="656" t="str">
        <f>+VLOOKUP($L387,Data_Validation!$A:$E,5,0)</f>
        <v>$</v>
      </c>
      <c r="X387" s="656">
        <f>+VLOOKUP($L387,Data_Validation!$A:$F,6,0)</f>
        <v>0</v>
      </c>
    </row>
    <row r="388" spans="1:24" ht="15.75" customHeight="1">
      <c r="A388" s="1218" t="s">
        <v>1199</v>
      </c>
      <c r="B388" s="1218" t="s">
        <v>2597</v>
      </c>
      <c r="C388" s="1220">
        <v>713.31</v>
      </c>
      <c r="D388" s="1220">
        <v>47.8</v>
      </c>
      <c r="E388" s="1220">
        <v>761.11</v>
      </c>
      <c r="F388" s="1218" t="s">
        <v>1154</v>
      </c>
      <c r="G388" s="1218" t="s">
        <v>1200</v>
      </c>
      <c r="H388" s="1218" t="s">
        <v>3950</v>
      </c>
      <c r="I388" s="1202"/>
      <c r="J388" s="1202"/>
      <c r="K388" s="1202"/>
      <c r="L388" s="653" t="str">
        <f t="shared" si="186"/>
        <v>6552</v>
      </c>
      <c r="M388" s="654" t="str">
        <f t="shared" si="187"/>
        <v>PAPETERIE</v>
      </c>
      <c r="N388" s="655">
        <f>+IF(OR($Q388=Parametres!$G$2,$Q388=Parametres!$G$3),I388,C388)</f>
        <v>713.31</v>
      </c>
      <c r="O388" s="655">
        <f>+IF(OR($Q388=Parametres!$G$2,$Q388=Parametres!$G$3),J388,D388)</f>
        <v>47.8</v>
      </c>
      <c r="P388" s="655">
        <f>+IF(OR($Q388=Parametres!$G$2,$Q388=Parametres!$G$3),K388,E388)</f>
        <v>761.11</v>
      </c>
      <c r="Q388" s="654" t="str">
        <f t="shared" si="188"/>
        <v>7-Dépenses</v>
      </c>
      <c r="R388" s="653" t="str">
        <f t="shared" si="189"/>
        <v>6152</v>
      </c>
      <c r="S388" s="654" t="str">
        <f t="shared" si="190"/>
        <v>_</v>
      </c>
      <c r="T388" s="656" t="str">
        <f>+VLOOKUP($L388,Data_Validation!$A:$D,1,0)</f>
        <v>6552</v>
      </c>
      <c r="U388" s="656" t="str">
        <f>+VLOOKUP($L388,Data_Validation!$A:$D,3,0)</f>
        <v>Carrosserie</v>
      </c>
      <c r="V388" s="656" t="str">
        <f>+VLOOKUP($L388,Data_Validation!$A:$D,4,0)</f>
        <v>Papeterie</v>
      </c>
      <c r="W388" s="656" t="str">
        <f>+VLOOKUP($L388,Data_Validation!$A:$E,5,0)</f>
        <v>$</v>
      </c>
      <c r="X388" s="656">
        <f>+VLOOKUP($L388,Data_Validation!$A:$F,6,0)</f>
        <v>0</v>
      </c>
    </row>
    <row r="389" spans="1:24" ht="15.75" customHeight="1">
      <c r="A389" s="1218" t="s">
        <v>1201</v>
      </c>
      <c r="B389" s="1218" t="s">
        <v>2600</v>
      </c>
      <c r="C389" s="1220">
        <v>169.04</v>
      </c>
      <c r="D389" s="1220">
        <v>17.43</v>
      </c>
      <c r="E389" s="1220">
        <v>186.47</v>
      </c>
      <c r="F389" s="1218" t="s">
        <v>1154</v>
      </c>
      <c r="G389" s="1218" t="s">
        <v>1202</v>
      </c>
      <c r="H389" s="1218" t="s">
        <v>3950</v>
      </c>
      <c r="I389" s="1202"/>
      <c r="J389" s="1202"/>
      <c r="K389" s="1202"/>
      <c r="L389" s="653" t="str">
        <f t="shared" ref="L389:L399" si="191">TEXT(B389,0)</f>
        <v>6553</v>
      </c>
      <c r="M389" s="654" t="str">
        <f t="shared" ref="M389:M399" si="192">+A389</f>
        <v>TELEPHONE ET TELEX</v>
      </c>
      <c r="N389" s="655">
        <f>+IF(OR($Q389=Parametres!$G$2,$Q389=Parametres!$G$3),I389,C389)</f>
        <v>169.04</v>
      </c>
      <c r="O389" s="655">
        <f>+IF(OR($Q389=Parametres!$G$2,$Q389=Parametres!$G$3),J389,D389)</f>
        <v>17.43</v>
      </c>
      <c r="P389" s="655">
        <f>+IF(OR($Q389=Parametres!$G$2,$Q389=Parametres!$G$3),K389,E389)</f>
        <v>186.47</v>
      </c>
      <c r="Q389" s="654" t="str">
        <f t="shared" ref="Q389:Q399" si="193">+F389</f>
        <v>7-Dépenses</v>
      </c>
      <c r="R389" s="653" t="str">
        <f t="shared" ref="R389:R399" si="194">+G389</f>
        <v>6153</v>
      </c>
      <c r="S389" s="654" t="str">
        <f t="shared" ref="S389:S399" si="195">+H389</f>
        <v>_</v>
      </c>
      <c r="T389" s="656" t="str">
        <f>+VLOOKUP($L389,Data_Validation!$A:$D,1,0)</f>
        <v>6553</v>
      </c>
      <c r="U389" s="656" t="str">
        <f>+VLOOKUP($L389,Data_Validation!$A:$D,3,0)</f>
        <v>Carrosserie</v>
      </c>
      <c r="V389" s="656" t="str">
        <f>+VLOOKUP($L389,Data_Validation!$A:$D,4,0)</f>
        <v>Téléphone</v>
      </c>
      <c r="W389" s="656" t="str">
        <f>+VLOOKUP($L389,Data_Validation!$A:$E,5,0)</f>
        <v>$</v>
      </c>
      <c r="X389" s="656">
        <f>+VLOOKUP($L389,Data_Validation!$A:$F,6,0)</f>
        <v>0</v>
      </c>
    </row>
    <row r="390" spans="1:24" ht="15.75" customHeight="1">
      <c r="A390" s="1218" t="s">
        <v>1203</v>
      </c>
      <c r="B390" s="1218" t="s">
        <v>2603</v>
      </c>
      <c r="C390" s="1220">
        <v>115.37</v>
      </c>
      <c r="D390" s="1220">
        <v>13.72</v>
      </c>
      <c r="E390" s="1220">
        <v>129.09</v>
      </c>
      <c r="F390" s="1218" t="s">
        <v>1154</v>
      </c>
      <c r="G390" s="1218" t="s">
        <v>1204</v>
      </c>
      <c r="H390" s="1218" t="s">
        <v>3950</v>
      </c>
      <c r="I390" s="1202"/>
      <c r="J390" s="1202"/>
      <c r="K390" s="1202"/>
      <c r="L390" s="653" t="str">
        <f t="shared" si="191"/>
        <v>6555</v>
      </c>
      <c r="M390" s="654" t="str">
        <f t="shared" si="192"/>
        <v>DEPENSES DIVERS</v>
      </c>
      <c r="N390" s="655">
        <f>+IF(OR($Q390=Parametres!$G$2,$Q390=Parametres!$G$3),I390,C390)</f>
        <v>115.37</v>
      </c>
      <c r="O390" s="655">
        <f>+IF(OR($Q390=Parametres!$G$2,$Q390=Parametres!$G$3),J390,D390)</f>
        <v>13.72</v>
      </c>
      <c r="P390" s="655">
        <f>+IF(OR($Q390=Parametres!$G$2,$Q390=Parametres!$G$3),K390,E390)</f>
        <v>129.09</v>
      </c>
      <c r="Q390" s="654" t="str">
        <f t="shared" si="193"/>
        <v>7-Dépenses</v>
      </c>
      <c r="R390" s="653" t="str">
        <f t="shared" si="194"/>
        <v>6155</v>
      </c>
      <c r="S390" s="654" t="str">
        <f t="shared" si="195"/>
        <v>_</v>
      </c>
      <c r="T390" s="656" t="str">
        <f>+VLOOKUP($L390,Data_Validation!$A:$D,1,0)</f>
        <v>6555</v>
      </c>
      <c r="U390" s="656" t="str">
        <f>+VLOOKUP($L390,Data_Validation!$A:$D,3,0)</f>
        <v>Carrosserie</v>
      </c>
      <c r="V390" s="656" t="str">
        <f>+VLOOKUP($L390,Data_Validation!$A:$D,4,0)</f>
        <v>Divers</v>
      </c>
      <c r="W390" s="656" t="str">
        <f>+VLOOKUP($L390,Data_Validation!$A:$E,5,0)</f>
        <v>$</v>
      </c>
      <c r="X390" s="656">
        <f>+VLOOKUP($L390,Data_Validation!$A:$F,6,0)</f>
        <v>0</v>
      </c>
    </row>
    <row r="391" spans="1:24" ht="15.75" customHeight="1">
      <c r="A391" s="1218" t="s">
        <v>1265</v>
      </c>
      <c r="B391" s="1218" t="s">
        <v>2606</v>
      </c>
      <c r="C391" s="1220">
        <v>1674.4</v>
      </c>
      <c r="D391" s="1220">
        <v>179.64</v>
      </c>
      <c r="E391" s="1220">
        <v>1854.04</v>
      </c>
      <c r="F391" s="1218" t="s">
        <v>1154</v>
      </c>
      <c r="G391" s="1218" t="s">
        <v>1206</v>
      </c>
      <c r="H391" s="1218" t="s">
        <v>3950</v>
      </c>
      <c r="I391" s="1202"/>
      <c r="J391" s="1202"/>
      <c r="K391" s="1202"/>
      <c r="L391" s="653" t="str">
        <f t="shared" si="191"/>
        <v>6556</v>
      </c>
      <c r="M391" s="654" t="str">
        <f t="shared" si="192"/>
        <v>FRAIS REPRESENTATION</v>
      </c>
      <c r="N391" s="655">
        <f>+IF(OR($Q391=Parametres!$G$2,$Q391=Parametres!$G$3),I391,C391)</f>
        <v>1674.4</v>
      </c>
      <c r="O391" s="655">
        <f>+IF(OR($Q391=Parametres!$G$2,$Q391=Parametres!$G$3),J391,D391)</f>
        <v>179.64</v>
      </c>
      <c r="P391" s="655">
        <f>+IF(OR($Q391=Parametres!$G$2,$Q391=Parametres!$G$3),K391,E391)</f>
        <v>1854.04</v>
      </c>
      <c r="Q391" s="654" t="str">
        <f t="shared" si="193"/>
        <v>7-Dépenses</v>
      </c>
      <c r="R391" s="653" t="str">
        <f t="shared" si="194"/>
        <v>6156</v>
      </c>
      <c r="S391" s="654" t="str">
        <f t="shared" si="195"/>
        <v>_</v>
      </c>
      <c r="T391" s="656" t="str">
        <f>+VLOOKUP($L391,Data_Validation!$A:$D,1,0)</f>
        <v>6556</v>
      </c>
      <c r="U391" s="656" t="str">
        <f>+VLOOKUP($L391,Data_Validation!$A:$D,3,0)</f>
        <v>Carrosserie</v>
      </c>
      <c r="V391" s="656" t="str">
        <f>+VLOOKUP($L391,Data_Validation!$A:$D,4,0)</f>
        <v>Frais de déplacement</v>
      </c>
      <c r="W391" s="656" t="str">
        <f>+VLOOKUP($L391,Data_Validation!$A:$E,5,0)</f>
        <v>$</v>
      </c>
      <c r="X391" s="656">
        <f>+VLOOKUP($L391,Data_Validation!$A:$F,6,0)</f>
        <v>0</v>
      </c>
    </row>
    <row r="392" spans="1:24" ht="15.75" customHeight="1">
      <c r="A392" s="1218" t="s">
        <v>1266</v>
      </c>
      <c r="B392" s="1218" t="s">
        <v>3398</v>
      </c>
      <c r="C392" s="1220">
        <v>1187.25</v>
      </c>
      <c r="D392" s="1220">
        <v>216.81</v>
      </c>
      <c r="E392" s="1220">
        <v>1404.06</v>
      </c>
      <c r="F392" s="1218" t="s">
        <v>1154</v>
      </c>
      <c r="G392" s="1218" t="s">
        <v>1267</v>
      </c>
      <c r="H392" s="1218" t="s">
        <v>3950</v>
      </c>
      <c r="I392" s="1202"/>
      <c r="J392" s="1202"/>
      <c r="K392" s="1202"/>
      <c r="L392" s="653" t="str">
        <f t="shared" si="191"/>
        <v>6557</v>
      </c>
      <c r="M392" s="654" t="str">
        <f t="shared" si="192"/>
        <v>FRAIS BANCAIRES - CARROSSERIE</v>
      </c>
      <c r="N392" s="655">
        <f>+IF(OR($Q392=Parametres!$G$2,$Q392=Parametres!$G$3),I392,C392)</f>
        <v>1187.25</v>
      </c>
      <c r="O392" s="655">
        <f>+IF(OR($Q392=Parametres!$G$2,$Q392=Parametres!$G$3),J392,D392)</f>
        <v>216.81</v>
      </c>
      <c r="P392" s="655">
        <f>+IF(OR($Q392=Parametres!$G$2,$Q392=Parametres!$G$3),K392,E392)</f>
        <v>1404.06</v>
      </c>
      <c r="Q392" s="654" t="str">
        <f t="shared" si="193"/>
        <v>7-Dépenses</v>
      </c>
      <c r="R392" s="653" t="str">
        <f t="shared" si="194"/>
        <v>655</v>
      </c>
      <c r="S392" s="654" t="str">
        <f t="shared" si="195"/>
        <v>_</v>
      </c>
      <c r="T392" s="656" t="str">
        <f>+VLOOKUP($L392,Data_Validation!$A:$D,1,0)</f>
        <v>6557</v>
      </c>
      <c r="U392" s="656" t="str">
        <f>+VLOOKUP($L392,Data_Validation!$A:$D,3,0)</f>
        <v>Carrosserie</v>
      </c>
      <c r="V392" s="656" t="str">
        <f>+VLOOKUP($L392,Data_Validation!$A:$D,4,0)</f>
        <v>Frais bancaires</v>
      </c>
      <c r="W392" s="656" t="str">
        <f>+VLOOKUP($L392,Data_Validation!$A:$E,5,0)</f>
        <v>$</v>
      </c>
      <c r="X392" s="656">
        <f>+VLOOKUP($L392,Data_Validation!$A:$F,6,0)</f>
        <v>0</v>
      </c>
    </row>
    <row r="393" spans="1:24" ht="15.75" customHeight="1">
      <c r="A393" s="1218" t="s">
        <v>1209</v>
      </c>
      <c r="B393" s="1218" t="s">
        <v>2609</v>
      </c>
      <c r="C393" s="1220">
        <v>5041.4399999999996</v>
      </c>
      <c r="D393" s="1220">
        <v>987.01</v>
      </c>
      <c r="E393" s="1220">
        <v>6028.45</v>
      </c>
      <c r="F393" s="1218" t="s">
        <v>1154</v>
      </c>
      <c r="G393" s="1218" t="s">
        <v>1210</v>
      </c>
      <c r="H393" s="1218" t="s">
        <v>3950</v>
      </c>
      <c r="I393" s="1202"/>
      <c r="J393" s="1202"/>
      <c r="K393" s="1202"/>
      <c r="L393" s="653" t="str">
        <f t="shared" si="191"/>
        <v>6559</v>
      </c>
      <c r="M393" s="654" t="str">
        <f t="shared" si="192"/>
        <v>SERVICE EXTERIEUR</v>
      </c>
      <c r="N393" s="655">
        <f>+IF(OR($Q393=Parametres!$G$2,$Q393=Parametres!$G$3),I393,C393)</f>
        <v>5041.4399999999996</v>
      </c>
      <c r="O393" s="655">
        <f>+IF(OR($Q393=Parametres!$G$2,$Q393=Parametres!$G$3),J393,D393)</f>
        <v>987.01</v>
      </c>
      <c r="P393" s="655">
        <f>+IF(OR($Q393=Parametres!$G$2,$Q393=Parametres!$G$3),K393,E393)</f>
        <v>6028.45</v>
      </c>
      <c r="Q393" s="654" t="str">
        <f t="shared" si="193"/>
        <v>7-Dépenses</v>
      </c>
      <c r="R393" s="653" t="str">
        <f t="shared" si="194"/>
        <v>6159</v>
      </c>
      <c r="S393" s="654" t="str">
        <f t="shared" si="195"/>
        <v>_</v>
      </c>
      <c r="T393" s="656" t="str">
        <f>+VLOOKUP($L393,Data_Validation!$A:$D,1,0)</f>
        <v>6559</v>
      </c>
      <c r="U393" s="656" t="str">
        <f>+VLOOKUP($L393,Data_Validation!$A:$D,3,0)</f>
        <v>Carrosserie</v>
      </c>
      <c r="V393" s="656" t="str">
        <f>+VLOOKUP($L393,Data_Validation!$A:$D,4,0)</f>
        <v>Services extérieurs</v>
      </c>
      <c r="W393" s="656" t="str">
        <f>+VLOOKUP($L393,Data_Validation!$A:$E,5,0)</f>
        <v>$</v>
      </c>
      <c r="X393" s="656">
        <f>+VLOOKUP($L393,Data_Validation!$A:$F,6,0)</f>
        <v>0</v>
      </c>
    </row>
    <row r="394" spans="1:24" ht="15.75" customHeight="1">
      <c r="A394" s="1218" t="s">
        <v>1211</v>
      </c>
      <c r="B394" s="1218" t="s">
        <v>2611</v>
      </c>
      <c r="C394" s="1220">
        <v>17912.16</v>
      </c>
      <c r="D394" s="1220">
        <v>2985.36</v>
      </c>
      <c r="E394" s="1220">
        <v>20897.52</v>
      </c>
      <c r="F394" s="1218" t="s">
        <v>1154</v>
      </c>
      <c r="G394" s="1218" t="s">
        <v>1212</v>
      </c>
      <c r="H394" s="1218" t="s">
        <v>3950</v>
      </c>
      <c r="I394" s="1202"/>
      <c r="J394" s="1202"/>
      <c r="K394" s="1202"/>
      <c r="L394" s="653" t="str">
        <f t="shared" si="191"/>
        <v>6561</v>
      </c>
      <c r="M394" s="654" t="str">
        <f t="shared" si="192"/>
        <v>DEPRECIATION EQUIP. &amp; FIXTURES</v>
      </c>
      <c r="N394" s="655">
        <f>+IF(OR($Q394=Parametres!$G$2,$Q394=Parametres!$G$3),I394,C394)</f>
        <v>17912.16</v>
      </c>
      <c r="O394" s="655">
        <f>+IF(OR($Q394=Parametres!$G$2,$Q394=Parametres!$G$3),J394,D394)</f>
        <v>2985.36</v>
      </c>
      <c r="P394" s="655">
        <f>+IF(OR($Q394=Parametres!$G$2,$Q394=Parametres!$G$3),K394,E394)</f>
        <v>20897.52</v>
      </c>
      <c r="Q394" s="654" t="str">
        <f t="shared" si="193"/>
        <v>7-Dépenses</v>
      </c>
      <c r="R394" s="653" t="str">
        <f t="shared" si="194"/>
        <v>6161</v>
      </c>
      <c r="S394" s="654" t="str">
        <f t="shared" si="195"/>
        <v>_</v>
      </c>
      <c r="T394" s="656" t="str">
        <f>+VLOOKUP($L394,Data_Validation!$A:$D,1,0)</f>
        <v>6561</v>
      </c>
      <c r="U394" s="656" t="str">
        <f>+VLOOKUP($L394,Data_Validation!$A:$D,3,0)</f>
        <v>Carrosserie</v>
      </c>
      <c r="V394" s="656" t="str">
        <f>+VLOOKUP($L394,Data_Validation!$A:$D,4,0)</f>
        <v>Amortissement</v>
      </c>
      <c r="W394" s="656" t="str">
        <f>+VLOOKUP($L394,Data_Validation!$A:$E,5,0)</f>
        <v>$</v>
      </c>
      <c r="X394" s="656">
        <f>+VLOOKUP($L394,Data_Validation!$A:$F,6,0)</f>
        <v>0</v>
      </c>
    </row>
    <row r="395" spans="1:24" ht="15.75" customHeight="1">
      <c r="A395" s="1218" t="s">
        <v>1268</v>
      </c>
      <c r="B395" s="1218" t="s">
        <v>2620</v>
      </c>
      <c r="C395" s="1220">
        <v>2984.19</v>
      </c>
      <c r="D395" s="1220">
        <v>344.5</v>
      </c>
      <c r="E395" s="1220">
        <v>3328.69</v>
      </c>
      <c r="F395" s="1218" t="s">
        <v>1154</v>
      </c>
      <c r="G395" s="1218" t="s">
        <v>1214</v>
      </c>
      <c r="H395" s="1218" t="s">
        <v>3950</v>
      </c>
      <c r="I395" s="1202"/>
      <c r="J395" s="1202"/>
      <c r="K395" s="1202"/>
      <c r="L395" s="653" t="str">
        <f t="shared" si="191"/>
        <v>6581</v>
      </c>
      <c r="M395" s="654" t="str">
        <f t="shared" si="192"/>
        <v>CHAUFFAGE,ELECTRICITE,EAU-CARROS.</v>
      </c>
      <c r="N395" s="655">
        <f>+IF(OR($Q395=Parametres!$G$2,$Q395=Parametres!$G$3),I395,C395)</f>
        <v>2984.19</v>
      </c>
      <c r="O395" s="655">
        <f>+IF(OR($Q395=Parametres!$G$2,$Q395=Parametres!$G$3),J395,D395)</f>
        <v>344.5</v>
      </c>
      <c r="P395" s="655">
        <f>+IF(OR($Q395=Parametres!$G$2,$Q395=Parametres!$G$3),K395,E395)</f>
        <v>3328.69</v>
      </c>
      <c r="Q395" s="654" t="str">
        <f t="shared" si="193"/>
        <v>7-Dépenses</v>
      </c>
      <c r="R395" s="653" t="str">
        <f t="shared" si="194"/>
        <v>6181</v>
      </c>
      <c r="S395" s="654" t="str">
        <f t="shared" si="195"/>
        <v>_</v>
      </c>
      <c r="T395" s="656" t="str">
        <f>+VLOOKUP($L395,Data_Validation!$A:$D,1,0)</f>
        <v>6581</v>
      </c>
      <c r="U395" s="656" t="str">
        <f>+VLOOKUP($L395,Data_Validation!$A:$D,3,0)</f>
        <v>Carrosserie</v>
      </c>
      <c r="V395" s="656" t="str">
        <f>+VLOOKUP($L395,Data_Validation!$A:$D,4,0)</f>
        <v>Chauffage, éclairage</v>
      </c>
      <c r="W395" s="656" t="str">
        <f>+VLOOKUP($L395,Data_Validation!$A:$E,5,0)</f>
        <v>$</v>
      </c>
      <c r="X395" s="656">
        <f>+VLOOKUP($L395,Data_Validation!$A:$F,6,0)</f>
        <v>0</v>
      </c>
    </row>
    <row r="396" spans="1:24" ht="15.75" customHeight="1">
      <c r="A396" s="1218" t="s">
        <v>1269</v>
      </c>
      <c r="B396" s="1218" t="s">
        <v>2623</v>
      </c>
      <c r="C396" s="1220">
        <v>15120</v>
      </c>
      <c r="D396" s="1220">
        <v>2520</v>
      </c>
      <c r="E396" s="1220">
        <v>17640</v>
      </c>
      <c r="F396" s="1218" t="s">
        <v>1154</v>
      </c>
      <c r="G396" s="1218" t="s">
        <v>1216</v>
      </c>
      <c r="H396" s="1218" t="s">
        <v>3950</v>
      </c>
      <c r="I396" s="1202"/>
      <c r="J396" s="1202"/>
      <c r="K396" s="1202"/>
      <c r="L396" s="653" t="str">
        <f t="shared" si="191"/>
        <v>6582</v>
      </c>
      <c r="M396" s="654" t="str">
        <f t="shared" si="192"/>
        <v>LOYER - CARROSSERIE</v>
      </c>
      <c r="N396" s="655">
        <f>+IF(OR($Q396=Parametres!$G$2,$Q396=Parametres!$G$3),I396,C396)</f>
        <v>15120</v>
      </c>
      <c r="O396" s="655">
        <f>+IF(OR($Q396=Parametres!$G$2,$Q396=Parametres!$G$3),J396,D396)</f>
        <v>2520</v>
      </c>
      <c r="P396" s="655">
        <f>+IF(OR($Q396=Parametres!$G$2,$Q396=Parametres!$G$3),K396,E396)</f>
        <v>17640</v>
      </c>
      <c r="Q396" s="654" t="str">
        <f t="shared" si="193"/>
        <v>7-Dépenses</v>
      </c>
      <c r="R396" s="653" t="str">
        <f t="shared" si="194"/>
        <v>6182</v>
      </c>
      <c r="S396" s="654" t="str">
        <f t="shared" si="195"/>
        <v>_</v>
      </c>
      <c r="T396" s="656" t="str">
        <f>+VLOOKUP($L396,Data_Validation!$A:$D,1,0)</f>
        <v>6582</v>
      </c>
      <c r="U396" s="656" t="str">
        <f>+VLOOKUP($L396,Data_Validation!$A:$D,3,0)</f>
        <v>Carrosserie</v>
      </c>
      <c r="V396" s="656" t="str">
        <f>+VLOOKUP($L396,Data_Validation!$A:$D,4,0)</f>
        <v>Loyer</v>
      </c>
      <c r="W396" s="656" t="str">
        <f>+VLOOKUP($L396,Data_Validation!$A:$E,5,0)</f>
        <v>$</v>
      </c>
      <c r="X396" s="656">
        <f>+VLOOKUP($L396,Data_Validation!$A:$F,6,0)</f>
        <v>0</v>
      </c>
    </row>
    <row r="397" spans="1:24" ht="15.75" customHeight="1">
      <c r="A397" s="1218" t="s">
        <v>1270</v>
      </c>
      <c r="B397" s="1218" t="s">
        <v>2625</v>
      </c>
      <c r="C397" s="1220">
        <v>1824.6</v>
      </c>
      <c r="D397" s="1220">
        <v>304.10000000000002</v>
      </c>
      <c r="E397" s="1220">
        <v>2128.6999999999998</v>
      </c>
      <c r="F397" s="1218" t="s">
        <v>1154</v>
      </c>
      <c r="G397" s="1218" t="s">
        <v>1218</v>
      </c>
      <c r="H397" s="1218" t="s">
        <v>3950</v>
      </c>
      <c r="I397" s="1202"/>
      <c r="J397" s="1202"/>
      <c r="K397" s="1202"/>
      <c r="L397" s="653" t="str">
        <f t="shared" si="191"/>
        <v>6586</v>
      </c>
      <c r="M397" s="654" t="str">
        <f t="shared" si="192"/>
        <v>ASSURANCE BATISSE &amp; AMEL.-CARROS.</v>
      </c>
      <c r="N397" s="655">
        <f>+IF(OR($Q397=Parametres!$G$2,$Q397=Parametres!$G$3),I397,C397)</f>
        <v>1824.6</v>
      </c>
      <c r="O397" s="655">
        <f>+IF(OR($Q397=Parametres!$G$2,$Q397=Parametres!$G$3),J397,D397)</f>
        <v>304.10000000000002</v>
      </c>
      <c r="P397" s="655">
        <f>+IF(OR($Q397=Parametres!$G$2,$Q397=Parametres!$G$3),K397,E397)</f>
        <v>2128.6999999999998</v>
      </c>
      <c r="Q397" s="654" t="str">
        <f t="shared" si="193"/>
        <v>7-Dépenses</v>
      </c>
      <c r="R397" s="653" t="str">
        <f t="shared" si="194"/>
        <v>6186</v>
      </c>
      <c r="S397" s="654" t="str">
        <f t="shared" si="195"/>
        <v>_</v>
      </c>
      <c r="T397" s="656" t="str">
        <f>+VLOOKUP($L397,Data_Validation!$A:$D,1,0)</f>
        <v>6586</v>
      </c>
      <c r="U397" s="656" t="str">
        <f>+VLOOKUP($L397,Data_Validation!$A:$D,3,0)</f>
        <v>Carrosserie</v>
      </c>
      <c r="V397" s="656" t="str">
        <f>+VLOOKUP($L397,Data_Validation!$A:$D,4,0)</f>
        <v>Assurances</v>
      </c>
      <c r="W397" s="656" t="str">
        <f>+VLOOKUP($L397,Data_Validation!$A:$E,5,0)</f>
        <v>$</v>
      </c>
      <c r="X397" s="656">
        <f>+VLOOKUP($L397,Data_Validation!$A:$F,6,0)</f>
        <v>0</v>
      </c>
    </row>
    <row r="398" spans="1:24" ht="15.75" customHeight="1">
      <c r="A398" s="1218" t="s">
        <v>1271</v>
      </c>
      <c r="B398" s="1218" t="s">
        <v>2627</v>
      </c>
      <c r="C398" s="1220">
        <v>2277.66</v>
      </c>
      <c r="D398" s="1220">
        <v>379.61</v>
      </c>
      <c r="E398" s="1220">
        <v>2657.27</v>
      </c>
      <c r="F398" s="1218" t="s">
        <v>1154</v>
      </c>
      <c r="G398" s="1218" t="s">
        <v>1220</v>
      </c>
      <c r="H398" s="1218" t="s">
        <v>3950</v>
      </c>
      <c r="I398" s="1202"/>
      <c r="J398" s="1202"/>
      <c r="K398" s="1202"/>
      <c r="L398" s="653" t="str">
        <f t="shared" si="191"/>
        <v>6587</v>
      </c>
      <c r="M398" s="654" t="str">
        <f t="shared" si="192"/>
        <v>TAXES FONCIERES - CAROSSERIE</v>
      </c>
      <c r="N398" s="655">
        <f>+IF(OR($Q398=Parametres!$G$2,$Q398=Parametres!$G$3),I398,C398)</f>
        <v>2277.66</v>
      </c>
      <c r="O398" s="655">
        <f>+IF(OR($Q398=Parametres!$G$2,$Q398=Parametres!$G$3),J398,D398)</f>
        <v>379.61</v>
      </c>
      <c r="P398" s="655">
        <f>+IF(OR($Q398=Parametres!$G$2,$Q398=Parametres!$G$3),K398,E398)</f>
        <v>2657.27</v>
      </c>
      <c r="Q398" s="654" t="str">
        <f t="shared" si="193"/>
        <v>7-Dépenses</v>
      </c>
      <c r="R398" s="653" t="str">
        <f t="shared" si="194"/>
        <v>6187</v>
      </c>
      <c r="S398" s="654" t="str">
        <f t="shared" si="195"/>
        <v>_</v>
      </c>
      <c r="T398" s="656" t="str">
        <f>+VLOOKUP($L398,Data_Validation!$A:$D,1,0)</f>
        <v>6587</v>
      </c>
      <c r="U398" s="656" t="str">
        <f>+VLOOKUP($L398,Data_Validation!$A:$D,3,0)</f>
        <v>Carrosserie</v>
      </c>
      <c r="V398" s="656" t="str">
        <f>+VLOOKUP($L398,Data_Validation!$A:$D,4,0)</f>
        <v>Taxes foncières</v>
      </c>
      <c r="W398" s="656" t="str">
        <f>+VLOOKUP($L398,Data_Validation!$A:$E,5,0)</f>
        <v>$</v>
      </c>
      <c r="X398" s="656">
        <f>+VLOOKUP($L398,Data_Validation!$A:$F,6,0)</f>
        <v>0</v>
      </c>
    </row>
    <row r="399" spans="1:24" ht="15.75" customHeight="1">
      <c r="A399" s="1218" t="s">
        <v>1272</v>
      </c>
      <c r="B399" s="1218" t="s">
        <v>2630</v>
      </c>
      <c r="C399" s="1220">
        <v>1697.78</v>
      </c>
      <c r="D399" s="1220">
        <v>252.63</v>
      </c>
      <c r="E399" s="1220">
        <v>1950.41</v>
      </c>
      <c r="F399" s="1218" t="s">
        <v>1154</v>
      </c>
      <c r="G399" s="1218" t="s">
        <v>1222</v>
      </c>
      <c r="H399" s="1218" t="s">
        <v>3950</v>
      </c>
      <c r="I399" s="1202"/>
      <c r="J399" s="1202"/>
      <c r="K399" s="1202"/>
      <c r="L399" s="653" t="str">
        <f t="shared" si="191"/>
        <v>6593</v>
      </c>
      <c r="M399" s="654" t="str">
        <f t="shared" si="192"/>
        <v>AUTRES TAXES -CARROSSERIE</v>
      </c>
      <c r="N399" s="655">
        <f>+IF(OR($Q399=Parametres!$G$2,$Q399=Parametres!$G$3),I399,C399)</f>
        <v>1697.78</v>
      </c>
      <c r="O399" s="655">
        <f>+IF(OR($Q399=Parametres!$G$2,$Q399=Parametres!$G$3),J399,D399)</f>
        <v>252.63</v>
      </c>
      <c r="P399" s="655">
        <f>+IF(OR($Q399=Parametres!$G$2,$Q399=Parametres!$G$3),K399,E399)</f>
        <v>1950.41</v>
      </c>
      <c r="Q399" s="654" t="str">
        <f t="shared" si="193"/>
        <v>7-Dépenses</v>
      </c>
      <c r="R399" s="653" t="str">
        <f t="shared" si="194"/>
        <v>6193</v>
      </c>
      <c r="S399" s="654" t="str">
        <f t="shared" si="195"/>
        <v>_</v>
      </c>
      <c r="T399" s="656" t="str">
        <f>+VLOOKUP($L399,Data_Validation!$A:$D,1,0)</f>
        <v>6593</v>
      </c>
      <c r="U399" s="656" t="str">
        <f>+VLOOKUP($L399,Data_Validation!$A:$D,3,0)</f>
        <v>Carrosserie</v>
      </c>
      <c r="V399" s="656" t="str">
        <f>+VLOOKUP($L399,Data_Validation!$A:$D,4,0)</f>
        <v>Taxes d`affaires</v>
      </c>
      <c r="W399" s="656" t="str">
        <f>+VLOOKUP($L399,Data_Validation!$A:$E,5,0)</f>
        <v>$</v>
      </c>
      <c r="X399" s="656">
        <f>+VLOOKUP($L399,Data_Validation!$A:$F,6,0)</f>
        <v>0</v>
      </c>
    </row>
    <row r="400" spans="1:24" ht="15.75" customHeight="1">
      <c r="A400" s="1218" t="s">
        <v>1273</v>
      </c>
      <c r="B400" s="1218" t="s">
        <v>2632</v>
      </c>
      <c r="C400" s="1220">
        <v>2797.03</v>
      </c>
      <c r="D400" s="1220">
        <v>751.33</v>
      </c>
      <c r="E400" s="1220">
        <v>3548.36</v>
      </c>
      <c r="F400" s="1218" t="s">
        <v>1154</v>
      </c>
      <c r="G400" s="1218" t="s">
        <v>1224</v>
      </c>
      <c r="H400" s="1218" t="s">
        <v>3950</v>
      </c>
      <c r="I400" s="1024"/>
      <c r="J400" s="1024"/>
      <c r="K400" s="1024"/>
      <c r="L400" s="653" t="str">
        <f t="shared" ref="L400:L463" si="196">TEXT(B400,0)</f>
        <v>6594</v>
      </c>
      <c r="M400" s="654" t="str">
        <f t="shared" ref="M400:M463" si="197">+A400</f>
        <v>FRAIS PROFESSIONNEL-CARROS.</v>
      </c>
      <c r="N400" s="655">
        <f>+IF(OR($Q400=Parametres!$G$2,$Q400=Parametres!$G$3),I400,C400)</f>
        <v>2797.03</v>
      </c>
      <c r="O400" s="655">
        <f>+IF(OR($Q400=Parametres!$G$2,$Q400=Parametres!$G$3),J400,D400)</f>
        <v>751.33</v>
      </c>
      <c r="P400" s="655">
        <f>+IF(OR($Q400=Parametres!$G$2,$Q400=Parametres!$G$3),K400,E400)</f>
        <v>3548.36</v>
      </c>
      <c r="Q400" s="654" t="str">
        <f t="shared" ref="Q400:Q463" si="198">+F400</f>
        <v>7-Dépenses</v>
      </c>
      <c r="R400" s="653" t="str">
        <f t="shared" ref="R400:R463" si="199">+G400</f>
        <v>6194</v>
      </c>
      <c r="S400" s="654" t="str">
        <f t="shared" ref="S400:S463" si="200">+H400</f>
        <v>_</v>
      </c>
      <c r="T400" s="656" t="str">
        <f>+VLOOKUP($L400,Data_Validation!$A:$D,1,0)</f>
        <v>6594</v>
      </c>
      <c r="U400" s="656" t="str">
        <f>+VLOOKUP($L400,Data_Validation!$A:$D,3,0)</f>
        <v>Carrosserie</v>
      </c>
      <c r="V400" s="656" t="str">
        <f>+VLOOKUP($L400,Data_Validation!$A:$D,4,0)</f>
        <v>Honoraires</v>
      </c>
      <c r="W400" s="656" t="str">
        <f>+VLOOKUP($L400,Data_Validation!$A:$E,5,0)</f>
        <v>$</v>
      </c>
      <c r="X400" s="656">
        <f>+VLOOKUP($L400,Data_Validation!$A:$F,6,0)</f>
        <v>0</v>
      </c>
    </row>
    <row r="401" spans="1:24" ht="15.75" customHeight="1">
      <c r="A401" s="1218" t="s">
        <v>1158</v>
      </c>
      <c r="B401" s="1218" t="s">
        <v>2647</v>
      </c>
      <c r="C401" s="1220">
        <v>8652.6299999999992</v>
      </c>
      <c r="D401" s="1220">
        <v>517.6</v>
      </c>
      <c r="E401" s="1220">
        <v>9170.23</v>
      </c>
      <c r="F401" s="1218" t="s">
        <v>1154</v>
      </c>
      <c r="G401" s="1218" t="s">
        <v>1242</v>
      </c>
      <c r="H401" s="1218" t="s">
        <v>3950</v>
      </c>
      <c r="I401" s="1024"/>
      <c r="J401" s="1024"/>
      <c r="K401" s="1024"/>
      <c r="L401" s="653" t="str">
        <f t="shared" si="196"/>
        <v>6703</v>
      </c>
      <c r="M401" s="654" t="str">
        <f t="shared" si="197"/>
        <v>RELAT. A LA CLIENTELE &amp; AJUST.</v>
      </c>
      <c r="N401" s="655">
        <f>+IF(OR($Q401=Parametres!$G$2,$Q401=Parametres!$G$3),I401,C401)</f>
        <v>8652.6299999999992</v>
      </c>
      <c r="O401" s="655">
        <f>+IF(OR($Q401=Parametres!$G$2,$Q401=Parametres!$G$3),J401,D401)</f>
        <v>517.6</v>
      </c>
      <c r="P401" s="655">
        <f>+IF(OR($Q401=Parametres!$G$2,$Q401=Parametres!$G$3),K401,E401)</f>
        <v>9170.23</v>
      </c>
      <c r="Q401" s="654" t="str">
        <f t="shared" si="198"/>
        <v>7-Dépenses</v>
      </c>
      <c r="R401" s="653" t="str">
        <f t="shared" si="199"/>
        <v>6112</v>
      </c>
      <c r="S401" s="654" t="str">
        <f t="shared" si="200"/>
        <v>_</v>
      </c>
      <c r="T401" s="656" t="str">
        <f>+VLOOKUP($L401,Data_Validation!$A:$D,1,0)</f>
        <v>6703</v>
      </c>
      <c r="U401" s="656" t="str">
        <f>+VLOOKUP($L401,Data_Validation!$A:$D,3,0)</f>
        <v>Pièces</v>
      </c>
      <c r="V401" s="656" t="str">
        <f>+VLOOKUP($L401,Data_Validation!$A:$D,4,0)</f>
        <v>Service gratuit 2</v>
      </c>
      <c r="W401" s="656" t="str">
        <f>+VLOOKUP($L401,Data_Validation!$A:$E,5,0)</f>
        <v>$</v>
      </c>
      <c r="X401" s="656">
        <f>+VLOOKUP($L401,Data_Validation!$A:$F,6,0)</f>
        <v>0</v>
      </c>
    </row>
    <row r="402" spans="1:24" ht="15.75" customHeight="1">
      <c r="A402" s="1218" t="s">
        <v>1397</v>
      </c>
      <c r="B402" s="1218" t="s">
        <v>2650</v>
      </c>
      <c r="C402" s="1220">
        <v>3312.07</v>
      </c>
      <c r="D402" s="1220">
        <v>0</v>
      </c>
      <c r="E402" s="1220">
        <v>3312.07</v>
      </c>
      <c r="F402" s="1218" t="s">
        <v>1154</v>
      </c>
      <c r="G402" s="1218" t="s">
        <v>1242</v>
      </c>
      <c r="H402" s="1218" t="s">
        <v>3950</v>
      </c>
      <c r="I402" s="1024"/>
      <c r="J402" s="1024"/>
      <c r="K402" s="1024"/>
      <c r="L402" s="653" t="str">
        <f t="shared" si="196"/>
        <v>6712</v>
      </c>
      <c r="M402" s="654" t="str">
        <f t="shared" si="197"/>
        <v>AUTORISATION &amp; GAR. /VEH. USAG</v>
      </c>
      <c r="N402" s="655">
        <f>+IF(OR($Q402=Parametres!$G$2,$Q402=Parametres!$G$3),I402,C402)</f>
        <v>3312.07</v>
      </c>
      <c r="O402" s="655">
        <f>+IF(OR($Q402=Parametres!$G$2,$Q402=Parametres!$G$3),J402,D402)</f>
        <v>0</v>
      </c>
      <c r="P402" s="655">
        <f>+IF(OR($Q402=Parametres!$G$2,$Q402=Parametres!$G$3),K402,E402)</f>
        <v>3312.07</v>
      </c>
      <c r="Q402" s="654" t="str">
        <f t="shared" si="198"/>
        <v>7-Dépenses</v>
      </c>
      <c r="R402" s="653" t="str">
        <f t="shared" si="199"/>
        <v>6112</v>
      </c>
      <c r="S402" s="654" t="str">
        <f t="shared" si="200"/>
        <v>_</v>
      </c>
      <c r="T402" s="656" t="str">
        <f>+VLOOKUP($L402,Data_Validation!$A:$D,1,0)</f>
        <v>6712</v>
      </c>
      <c r="U402" s="656" t="str">
        <f>+VLOOKUP($L402,Data_Validation!$A:$D,3,0)</f>
        <v>Pièces</v>
      </c>
      <c r="V402" s="656" t="str">
        <f>+VLOOKUP($L402,Data_Validation!$A:$D,4,0)</f>
        <v>Service gratuit 2</v>
      </c>
      <c r="W402" s="656" t="str">
        <f>+VLOOKUP($L402,Data_Validation!$A:$E,5,0)</f>
        <v>$</v>
      </c>
      <c r="X402" s="656">
        <f>+VLOOKUP($L402,Data_Validation!$A:$F,6,0)</f>
        <v>0</v>
      </c>
    </row>
    <row r="403" spans="1:24" ht="15.75" customHeight="1">
      <c r="A403" s="1218" t="s">
        <v>1166</v>
      </c>
      <c r="B403" s="1218" t="s">
        <v>2653</v>
      </c>
      <c r="C403" s="1220">
        <v>36954.660000000003</v>
      </c>
      <c r="D403" s="1220">
        <v>2995.28</v>
      </c>
      <c r="E403" s="1220">
        <v>39949.94</v>
      </c>
      <c r="F403" s="1218" t="s">
        <v>1154</v>
      </c>
      <c r="G403" s="1218" t="s">
        <v>1167</v>
      </c>
      <c r="H403" s="1218" t="s">
        <v>3950</v>
      </c>
      <c r="I403" s="1024"/>
      <c r="J403" s="1024"/>
      <c r="K403" s="1024"/>
      <c r="L403" s="653" t="str">
        <f t="shared" si="196"/>
        <v>6714</v>
      </c>
      <c r="M403" s="654" t="str">
        <f t="shared" si="197"/>
        <v>PUBLICITE</v>
      </c>
      <c r="N403" s="655">
        <f>+IF(OR($Q403=Parametres!$G$2,$Q403=Parametres!$G$3),I403,C403)</f>
        <v>36954.660000000003</v>
      </c>
      <c r="O403" s="655">
        <f>+IF(OR($Q403=Parametres!$G$2,$Q403=Parametres!$G$3),J403,D403)</f>
        <v>2995.28</v>
      </c>
      <c r="P403" s="655">
        <f>+IF(OR($Q403=Parametres!$G$2,$Q403=Parametres!$G$3),K403,E403)</f>
        <v>39949.94</v>
      </c>
      <c r="Q403" s="654" t="str">
        <f t="shared" si="198"/>
        <v>7-Dépenses</v>
      </c>
      <c r="R403" s="653" t="str">
        <f t="shared" si="199"/>
        <v>6114</v>
      </c>
      <c r="S403" s="654" t="str">
        <f t="shared" si="200"/>
        <v>_</v>
      </c>
      <c r="T403" s="656" t="str">
        <f>+VLOOKUP($L403,Data_Validation!$A:$D,1,0)</f>
        <v>6714</v>
      </c>
      <c r="U403" s="656" t="str">
        <f>+VLOOKUP($L403,Data_Validation!$A:$D,3,0)</f>
        <v>Pièces</v>
      </c>
      <c r="V403" s="656" t="str">
        <f>+VLOOKUP($L403,Data_Validation!$A:$D,4,0)</f>
        <v>Publicité 2</v>
      </c>
      <c r="W403" s="656" t="str">
        <f>+VLOOKUP($L403,Data_Validation!$A:$E,5,0)</f>
        <v>$</v>
      </c>
      <c r="X403" s="656">
        <f>+VLOOKUP($L403,Data_Validation!$A:$F,6,0)</f>
        <v>0</v>
      </c>
    </row>
    <row r="404" spans="1:24" ht="15.75" customHeight="1">
      <c r="A404" s="1218" t="s">
        <v>1274</v>
      </c>
      <c r="B404" s="1218" t="s">
        <v>2656</v>
      </c>
      <c r="C404" s="1220">
        <v>17974.189999999999</v>
      </c>
      <c r="D404" s="1220">
        <v>2505.62</v>
      </c>
      <c r="E404" s="1220">
        <v>20479.810000000001</v>
      </c>
      <c r="F404" s="1218" t="s">
        <v>1154</v>
      </c>
      <c r="G404" s="1218" t="s">
        <v>1170</v>
      </c>
      <c r="H404" s="1218" t="s">
        <v>3950</v>
      </c>
      <c r="I404" s="1024"/>
      <c r="J404" s="1024"/>
      <c r="K404" s="1024"/>
      <c r="L404" s="653" t="str">
        <f t="shared" si="196"/>
        <v>6721</v>
      </c>
      <c r="M404" s="654" t="str">
        <f t="shared" si="197"/>
        <v>SALAIRES - PROPRIEATIRES</v>
      </c>
      <c r="N404" s="655">
        <f>+IF(OR($Q404=Parametres!$G$2,$Q404=Parametres!$G$3),I404,C404)</f>
        <v>17974.189999999999</v>
      </c>
      <c r="O404" s="655">
        <f>+IF(OR($Q404=Parametres!$G$2,$Q404=Parametres!$G$3),J404,D404)</f>
        <v>2505.62</v>
      </c>
      <c r="P404" s="655">
        <f>+IF(OR($Q404=Parametres!$G$2,$Q404=Parametres!$G$3),K404,E404)</f>
        <v>20479.810000000001</v>
      </c>
      <c r="Q404" s="654" t="str">
        <f t="shared" si="198"/>
        <v>7-Dépenses</v>
      </c>
      <c r="R404" s="653" t="str">
        <f t="shared" si="199"/>
        <v>6121</v>
      </c>
      <c r="S404" s="654" t="str">
        <f t="shared" si="200"/>
        <v>_</v>
      </c>
      <c r="T404" s="656" t="str">
        <f>+VLOOKUP($L404,Data_Validation!$A:$D,1,0)</f>
        <v>6721</v>
      </c>
      <c r="U404" s="656" t="str">
        <f>+VLOOKUP($L404,Data_Validation!$A:$D,3,0)</f>
        <v>Pièces</v>
      </c>
      <c r="V404" s="656" t="str">
        <f>+VLOOKUP($L404,Data_Validation!$A:$D,4,0)</f>
        <v>Salaires propriétaire</v>
      </c>
      <c r="W404" s="656" t="str">
        <f>+VLOOKUP($L404,Data_Validation!$A:$E,5,0)</f>
        <v>$</v>
      </c>
      <c r="X404" s="656">
        <f>+VLOOKUP($L404,Data_Validation!$A:$F,6,0)</f>
        <v>0</v>
      </c>
    </row>
    <row r="405" spans="1:24" ht="15.75" customHeight="1">
      <c r="A405" s="1218" t="s">
        <v>1171</v>
      </c>
      <c r="B405" s="1218" t="s">
        <v>2659</v>
      </c>
      <c r="C405" s="1220">
        <v>55838.26</v>
      </c>
      <c r="D405" s="1220">
        <v>8530.26</v>
      </c>
      <c r="E405" s="1220">
        <v>64368.52</v>
      </c>
      <c r="F405" s="1218" t="s">
        <v>1154</v>
      </c>
      <c r="G405" s="1218" t="s">
        <v>1172</v>
      </c>
      <c r="H405" s="1218" t="s">
        <v>3950</v>
      </c>
      <c r="I405" s="1024"/>
      <c r="J405" s="1024"/>
      <c r="K405" s="1024"/>
      <c r="L405" s="653" t="str">
        <f t="shared" si="196"/>
        <v>6722</v>
      </c>
      <c r="M405" s="654" t="str">
        <f t="shared" si="197"/>
        <v>SAL SUPERVISION / GERANT</v>
      </c>
      <c r="N405" s="655">
        <f>+IF(OR($Q405=Parametres!$G$2,$Q405=Parametres!$G$3),I405,C405)</f>
        <v>55838.26</v>
      </c>
      <c r="O405" s="655">
        <f>+IF(OR($Q405=Parametres!$G$2,$Q405=Parametres!$G$3),J405,D405)</f>
        <v>8530.26</v>
      </c>
      <c r="P405" s="655">
        <f>+IF(OR($Q405=Parametres!$G$2,$Q405=Parametres!$G$3),K405,E405)</f>
        <v>64368.52</v>
      </c>
      <c r="Q405" s="654" t="str">
        <f t="shared" si="198"/>
        <v>7-Dépenses</v>
      </c>
      <c r="R405" s="653" t="str">
        <f t="shared" si="199"/>
        <v>6122</v>
      </c>
      <c r="S405" s="654" t="str">
        <f t="shared" si="200"/>
        <v>_</v>
      </c>
      <c r="T405" s="656" t="str">
        <f>+VLOOKUP($L405,Data_Validation!$A:$D,1,0)</f>
        <v>6722</v>
      </c>
      <c r="U405" s="656" t="str">
        <f>+VLOOKUP($L405,Data_Validation!$A:$D,3,0)</f>
        <v>Pièces</v>
      </c>
      <c r="V405" s="656" t="str">
        <f>+VLOOKUP($L405,Data_Validation!$A:$D,4,0)</f>
        <v>Salaires cadres</v>
      </c>
      <c r="W405" s="656" t="str">
        <f>+VLOOKUP($L405,Data_Validation!$A:$E,5,0)</f>
        <v>$</v>
      </c>
      <c r="X405" s="656">
        <f>+VLOOKUP($L405,Data_Validation!$A:$F,6,0)</f>
        <v>0</v>
      </c>
    </row>
    <row r="406" spans="1:24" ht="15.75" customHeight="1">
      <c r="A406" s="1218" t="s">
        <v>1173</v>
      </c>
      <c r="B406" s="1218" t="s">
        <v>2662</v>
      </c>
      <c r="C406" s="1220">
        <v>157685.57999999999</v>
      </c>
      <c r="D406" s="1220">
        <v>22650.76</v>
      </c>
      <c r="E406" s="1220">
        <v>180336.34</v>
      </c>
      <c r="F406" s="1218" t="s">
        <v>1154</v>
      </c>
      <c r="G406" s="1218" t="s">
        <v>1174</v>
      </c>
      <c r="H406" s="1218" t="s">
        <v>3950</v>
      </c>
      <c r="I406" s="1024"/>
      <c r="J406" s="1024"/>
      <c r="K406" s="1024"/>
      <c r="L406" s="653" t="str">
        <f t="shared" si="196"/>
        <v>6723</v>
      </c>
      <c r="M406" s="654" t="str">
        <f t="shared" si="197"/>
        <v>SAL. &amp; RENUM. - CLERICAL</v>
      </c>
      <c r="N406" s="655">
        <f>+IF(OR($Q406=Parametres!$G$2,$Q406=Parametres!$G$3),I406,C406)</f>
        <v>157685.57999999999</v>
      </c>
      <c r="O406" s="655">
        <f>+IF(OR($Q406=Parametres!$G$2,$Q406=Parametres!$G$3),J406,D406)</f>
        <v>22650.76</v>
      </c>
      <c r="P406" s="655">
        <f>+IF(OR($Q406=Parametres!$G$2,$Q406=Parametres!$G$3),K406,E406)</f>
        <v>180336.34</v>
      </c>
      <c r="Q406" s="654" t="str">
        <f t="shared" si="198"/>
        <v>7-Dépenses</v>
      </c>
      <c r="R406" s="653" t="str">
        <f t="shared" si="199"/>
        <v>6123</v>
      </c>
      <c r="S406" s="654" t="str">
        <f t="shared" si="200"/>
        <v>_</v>
      </c>
      <c r="T406" s="656" t="str">
        <f>+VLOOKUP($L406,Data_Validation!$A:$D,1,0)</f>
        <v>6723</v>
      </c>
      <c r="U406" s="656" t="str">
        <f>+VLOOKUP($L406,Data_Validation!$A:$D,3,0)</f>
        <v>Pièces</v>
      </c>
      <c r="V406" s="656" t="str">
        <f>+VLOOKUP($L406,Data_Validation!$A:$D,4,0)</f>
        <v>Salaires commis</v>
      </c>
      <c r="W406" s="656" t="str">
        <f>+VLOOKUP($L406,Data_Validation!$A:$E,5,0)</f>
        <v>$</v>
      </c>
      <c r="X406" s="656">
        <f>+VLOOKUP($L406,Data_Validation!$A:$F,6,0)</f>
        <v>0</v>
      </c>
    </row>
    <row r="407" spans="1:24" ht="15.75" customHeight="1">
      <c r="A407" s="1218" t="s">
        <v>1175</v>
      </c>
      <c r="B407" s="1218" t="s">
        <v>2665</v>
      </c>
      <c r="C407" s="1220">
        <v>683.52</v>
      </c>
      <c r="D407" s="1220">
        <v>113.92</v>
      </c>
      <c r="E407" s="1220">
        <v>797.44</v>
      </c>
      <c r="F407" s="1218" t="s">
        <v>1154</v>
      </c>
      <c r="G407" s="1218" t="s">
        <v>1176</v>
      </c>
      <c r="H407" s="1218" t="s">
        <v>3950</v>
      </c>
      <c r="I407" s="1024"/>
      <c r="J407" s="1024"/>
      <c r="K407" s="1024"/>
      <c r="L407" s="653" t="str">
        <f t="shared" si="196"/>
        <v>6724</v>
      </c>
      <c r="M407" s="654" t="str">
        <f t="shared" si="197"/>
        <v>SALAIRES &amp; RENUM. - AUTRES</v>
      </c>
      <c r="N407" s="655">
        <f>+IF(OR($Q407=Parametres!$G$2,$Q407=Parametres!$G$3),I407,C407)</f>
        <v>683.52</v>
      </c>
      <c r="O407" s="655">
        <f>+IF(OR($Q407=Parametres!$G$2,$Q407=Parametres!$G$3),J407,D407)</f>
        <v>113.92</v>
      </c>
      <c r="P407" s="655">
        <f>+IF(OR($Q407=Parametres!$G$2,$Q407=Parametres!$G$3),K407,E407)</f>
        <v>797.44</v>
      </c>
      <c r="Q407" s="654" t="str">
        <f t="shared" si="198"/>
        <v>7-Dépenses</v>
      </c>
      <c r="R407" s="653" t="str">
        <f t="shared" si="199"/>
        <v>6124</v>
      </c>
      <c r="S407" s="654" t="str">
        <f t="shared" si="200"/>
        <v>_</v>
      </c>
      <c r="T407" s="656" t="str">
        <f>+VLOOKUP($L407,Data_Validation!$A:$D,1,0)</f>
        <v>6724</v>
      </c>
      <c r="U407" s="656" t="str">
        <f>+VLOOKUP($L407,Data_Validation!$A:$D,3,0)</f>
        <v>Pièces</v>
      </c>
      <c r="V407" s="656" t="str">
        <f>+VLOOKUP($L407,Data_Validation!$A:$D,4,0)</f>
        <v>Salaires autres</v>
      </c>
      <c r="W407" s="656" t="str">
        <f>+VLOOKUP($L407,Data_Validation!$A:$E,5,0)</f>
        <v>$</v>
      </c>
      <c r="X407" s="656">
        <f>+VLOOKUP($L407,Data_Validation!$A:$F,6,0)</f>
        <v>0</v>
      </c>
    </row>
    <row r="408" spans="1:24" ht="15.75" customHeight="1">
      <c r="A408" s="1218" t="s">
        <v>1275</v>
      </c>
      <c r="B408" s="1218" t="s">
        <v>2668</v>
      </c>
      <c r="C408" s="1220">
        <v>24596.12</v>
      </c>
      <c r="D408" s="1220">
        <v>3917.79</v>
      </c>
      <c r="E408" s="1220">
        <v>28513.91</v>
      </c>
      <c r="F408" s="1218" t="s">
        <v>1154</v>
      </c>
      <c r="G408" s="1218" t="s">
        <v>1178</v>
      </c>
      <c r="H408" s="1218" t="s">
        <v>3950</v>
      </c>
      <c r="I408" s="1024"/>
      <c r="J408" s="1024"/>
      <c r="K408" s="1024"/>
      <c r="L408" s="653" t="str">
        <f t="shared" si="196"/>
        <v>6729</v>
      </c>
      <c r="M408" s="654" t="str">
        <f t="shared" si="197"/>
        <v>ABSENCES, VACANCES, ETC</v>
      </c>
      <c r="N408" s="655">
        <f>+IF(OR($Q408=Parametres!$G$2,$Q408=Parametres!$G$3),I408,C408)</f>
        <v>24596.12</v>
      </c>
      <c r="O408" s="655">
        <f>+IF(OR($Q408=Parametres!$G$2,$Q408=Parametres!$G$3),J408,D408)</f>
        <v>3917.79</v>
      </c>
      <c r="P408" s="655">
        <f>+IF(OR($Q408=Parametres!$G$2,$Q408=Parametres!$G$3),K408,E408)</f>
        <v>28513.91</v>
      </c>
      <c r="Q408" s="654" t="str">
        <f t="shared" si="198"/>
        <v>7-Dépenses</v>
      </c>
      <c r="R408" s="653" t="str">
        <f t="shared" si="199"/>
        <v>6129</v>
      </c>
      <c r="S408" s="654" t="str">
        <f t="shared" si="200"/>
        <v>_</v>
      </c>
      <c r="T408" s="656" t="str">
        <f>+VLOOKUP($L408,Data_Validation!$A:$D,1,0)</f>
        <v>6729</v>
      </c>
      <c r="U408" s="656" t="str">
        <f>+VLOOKUP($L408,Data_Validation!$A:$D,3,0)</f>
        <v>Pièces</v>
      </c>
      <c r="V408" s="656" t="str">
        <f>+VLOOKUP($L408,Data_Validation!$A:$D,4,0)</f>
        <v>Salaires en absences</v>
      </c>
      <c r="W408" s="656" t="str">
        <f>+VLOOKUP($L408,Data_Validation!$A:$E,5,0)</f>
        <v>$</v>
      </c>
      <c r="X408" s="656">
        <f>+VLOOKUP($L408,Data_Validation!$A:$F,6,0)</f>
        <v>0</v>
      </c>
    </row>
    <row r="409" spans="1:24" ht="15.75" customHeight="1">
      <c r="A409" s="1218" t="s">
        <v>1179</v>
      </c>
      <c r="B409" s="1218" t="s">
        <v>2671</v>
      </c>
      <c r="C409" s="1220">
        <v>7515.23</v>
      </c>
      <c r="D409" s="1220">
        <v>1425.7</v>
      </c>
      <c r="E409" s="1220">
        <v>8940.93</v>
      </c>
      <c r="F409" s="1218" t="s">
        <v>1154</v>
      </c>
      <c r="G409" s="1218" t="s">
        <v>1180</v>
      </c>
      <c r="H409" s="1218" t="s">
        <v>3950</v>
      </c>
      <c r="I409" s="1024"/>
      <c r="J409" s="1024"/>
      <c r="K409" s="1024"/>
      <c r="L409" s="653" t="str">
        <f t="shared" si="196"/>
        <v>6731</v>
      </c>
      <c r="M409" s="654" t="str">
        <f t="shared" si="197"/>
        <v>CSST</v>
      </c>
      <c r="N409" s="655">
        <f>+IF(OR($Q409=Parametres!$G$2,$Q409=Parametres!$G$3),I409,C409)</f>
        <v>7515.23</v>
      </c>
      <c r="O409" s="655">
        <f>+IF(OR($Q409=Parametres!$G$2,$Q409=Parametres!$G$3),J409,D409)</f>
        <v>1425.7</v>
      </c>
      <c r="P409" s="655">
        <f>+IF(OR($Q409=Parametres!$G$2,$Q409=Parametres!$G$3),K409,E409)</f>
        <v>8940.93</v>
      </c>
      <c r="Q409" s="654" t="str">
        <f t="shared" si="198"/>
        <v>7-Dépenses</v>
      </c>
      <c r="R409" s="653" t="str">
        <f t="shared" si="199"/>
        <v>6131</v>
      </c>
      <c r="S409" s="654" t="str">
        <f t="shared" si="200"/>
        <v>_</v>
      </c>
      <c r="T409" s="656" t="str">
        <f>+VLOOKUP($L409,Data_Validation!$A:$D,1,0)</f>
        <v>6731</v>
      </c>
      <c r="U409" s="656" t="str">
        <f>+VLOOKUP($L409,Data_Validation!$A:$D,3,0)</f>
        <v>Pièces</v>
      </c>
      <c r="V409" s="656" t="str">
        <f>+VLOOKUP($L409,Data_Validation!$A:$D,4,0)</f>
        <v>Csst</v>
      </c>
      <c r="W409" s="656" t="str">
        <f>+VLOOKUP($L409,Data_Validation!$A:$E,5,0)</f>
        <v>$</v>
      </c>
      <c r="X409" s="656">
        <f>+VLOOKUP($L409,Data_Validation!$A:$F,6,0)</f>
        <v>0</v>
      </c>
    </row>
    <row r="410" spans="1:24" ht="15.75" customHeight="1">
      <c r="A410" s="1218" t="s">
        <v>1181</v>
      </c>
      <c r="B410" s="1218" t="s">
        <v>2674</v>
      </c>
      <c r="C410" s="1220">
        <v>33557.18</v>
      </c>
      <c r="D410" s="1220">
        <v>4035.76</v>
      </c>
      <c r="E410" s="1220">
        <v>37592.94</v>
      </c>
      <c r="F410" s="1218" t="s">
        <v>1154</v>
      </c>
      <c r="G410" s="1218" t="s">
        <v>1182</v>
      </c>
      <c r="H410" s="1218" t="s">
        <v>3950</v>
      </c>
      <c r="I410" s="1024"/>
      <c r="J410" s="1024"/>
      <c r="K410" s="1024"/>
      <c r="L410" s="653" t="str">
        <f t="shared" si="196"/>
        <v>6732</v>
      </c>
      <c r="M410" s="654" t="str">
        <f t="shared" si="197"/>
        <v>RRQ RAMQ AC</v>
      </c>
      <c r="N410" s="655">
        <f>+IF(OR($Q410=Parametres!$G$2,$Q410=Parametres!$G$3),I410,C410)</f>
        <v>33557.18</v>
      </c>
      <c r="O410" s="655">
        <f>+IF(OR($Q410=Parametres!$G$2,$Q410=Parametres!$G$3),J410,D410)</f>
        <v>4035.76</v>
      </c>
      <c r="P410" s="655">
        <f>+IF(OR($Q410=Parametres!$G$2,$Q410=Parametres!$G$3),K410,E410)</f>
        <v>37592.94</v>
      </c>
      <c r="Q410" s="654" t="str">
        <f t="shared" si="198"/>
        <v>7-Dépenses</v>
      </c>
      <c r="R410" s="653" t="str">
        <f t="shared" si="199"/>
        <v>6132</v>
      </c>
      <c r="S410" s="654" t="str">
        <f t="shared" si="200"/>
        <v>_</v>
      </c>
      <c r="T410" s="656" t="str">
        <f>+VLOOKUP($L410,Data_Validation!$A:$D,1,0)</f>
        <v>6732</v>
      </c>
      <c r="U410" s="656" t="str">
        <f>+VLOOKUP($L410,Data_Validation!$A:$D,3,0)</f>
        <v>Pièces</v>
      </c>
      <c r="V410" s="656" t="str">
        <f>+VLOOKUP($L410,Data_Validation!$A:$D,4,0)</f>
        <v>Déduction à la source</v>
      </c>
      <c r="W410" s="656" t="str">
        <f>+VLOOKUP($L410,Data_Validation!$A:$E,5,0)</f>
        <v>$</v>
      </c>
      <c r="X410" s="656">
        <f>+VLOOKUP($L410,Data_Validation!$A:$F,6,0)</f>
        <v>0</v>
      </c>
    </row>
    <row r="411" spans="1:24" ht="15.75" customHeight="1">
      <c r="A411" s="1218" t="s">
        <v>1276</v>
      </c>
      <c r="B411" s="1218" t="s">
        <v>2677</v>
      </c>
      <c r="C411" s="1220">
        <v>7893.61</v>
      </c>
      <c r="D411" s="1220">
        <v>2799.59</v>
      </c>
      <c r="E411" s="1220">
        <v>10693.2</v>
      </c>
      <c r="F411" s="1218" t="s">
        <v>1154</v>
      </c>
      <c r="G411" s="1218" t="s">
        <v>1184</v>
      </c>
      <c r="H411" s="1218" t="s">
        <v>3950</v>
      </c>
      <c r="I411" s="1024"/>
      <c r="J411" s="1024"/>
      <c r="K411" s="1024"/>
      <c r="L411" s="653" t="str">
        <f t="shared" si="196"/>
        <v>6733</v>
      </c>
      <c r="M411" s="654" t="str">
        <f t="shared" si="197"/>
        <v>FOND PENSION - PIECES</v>
      </c>
      <c r="N411" s="655">
        <f>+IF(OR($Q411=Parametres!$G$2,$Q411=Parametres!$G$3),I411,C411)</f>
        <v>7893.61</v>
      </c>
      <c r="O411" s="655">
        <f>+IF(OR($Q411=Parametres!$G$2,$Q411=Parametres!$G$3),J411,D411)</f>
        <v>2799.59</v>
      </c>
      <c r="P411" s="655">
        <f>+IF(OR($Q411=Parametres!$G$2,$Q411=Parametres!$G$3),K411,E411)</f>
        <v>10693.2</v>
      </c>
      <c r="Q411" s="654" t="str">
        <f t="shared" si="198"/>
        <v>7-Dépenses</v>
      </c>
      <c r="R411" s="653" t="str">
        <f t="shared" si="199"/>
        <v>6133</v>
      </c>
      <c r="S411" s="654" t="str">
        <f t="shared" si="200"/>
        <v>_</v>
      </c>
      <c r="T411" s="656" t="str">
        <f>+VLOOKUP($L411,Data_Validation!$A:$D,1,0)</f>
        <v>6733</v>
      </c>
      <c r="U411" s="656" t="str">
        <f>+VLOOKUP($L411,Data_Validation!$A:$D,3,0)</f>
        <v>Pièces</v>
      </c>
      <c r="V411" s="656" t="str">
        <f>+VLOOKUP($L411,Data_Validation!$A:$D,4,0)</f>
        <v>Déduction à la source</v>
      </c>
      <c r="W411" s="656" t="str">
        <f>+VLOOKUP($L411,Data_Validation!$A:$E,5,0)</f>
        <v>$</v>
      </c>
      <c r="X411" s="656">
        <f>+VLOOKUP($L411,Data_Validation!$A:$F,6,0)</f>
        <v>0</v>
      </c>
    </row>
    <row r="412" spans="1:24" ht="15.75" customHeight="1">
      <c r="A412" s="1218" t="s">
        <v>1231</v>
      </c>
      <c r="B412" s="1218" t="s">
        <v>2680</v>
      </c>
      <c r="C412" s="1220">
        <v>7344.13</v>
      </c>
      <c r="D412" s="1220">
        <v>756.55</v>
      </c>
      <c r="E412" s="1220">
        <v>8100.68</v>
      </c>
      <c r="F412" s="1218" t="s">
        <v>1154</v>
      </c>
      <c r="G412" s="1218" t="s">
        <v>1186</v>
      </c>
      <c r="H412" s="1218" t="s">
        <v>3950</v>
      </c>
      <c r="I412" s="1024"/>
      <c r="J412" s="1024"/>
      <c r="K412" s="1024"/>
      <c r="L412" s="653" t="str">
        <f t="shared" si="196"/>
        <v>6739</v>
      </c>
      <c r="M412" s="654" t="str">
        <f t="shared" si="197"/>
        <v>ASSURANCE GROUPE</v>
      </c>
      <c r="N412" s="655">
        <f>+IF(OR($Q412=Parametres!$G$2,$Q412=Parametres!$G$3),I412,C412)</f>
        <v>7344.13</v>
      </c>
      <c r="O412" s="655">
        <f>+IF(OR($Q412=Parametres!$G$2,$Q412=Parametres!$G$3),J412,D412)</f>
        <v>756.55</v>
      </c>
      <c r="P412" s="655">
        <f>+IF(OR($Q412=Parametres!$G$2,$Q412=Parametres!$G$3),K412,E412)</f>
        <v>8100.68</v>
      </c>
      <c r="Q412" s="654" t="str">
        <f t="shared" si="198"/>
        <v>7-Dépenses</v>
      </c>
      <c r="R412" s="653" t="str">
        <f t="shared" si="199"/>
        <v>6139</v>
      </c>
      <c r="S412" s="654" t="str">
        <f t="shared" si="200"/>
        <v>_</v>
      </c>
      <c r="T412" s="656" t="str">
        <f>+VLOOKUP($L412,Data_Validation!$A:$D,1,0)</f>
        <v>6739</v>
      </c>
      <c r="U412" s="656" t="str">
        <f>+VLOOKUP($L412,Data_Validation!$A:$D,3,0)</f>
        <v>Pièces</v>
      </c>
      <c r="V412" s="656" t="str">
        <f>+VLOOKUP($L412,Data_Validation!$A:$D,4,0)</f>
        <v>Bénéfices marginaux</v>
      </c>
      <c r="W412" s="656" t="str">
        <f>+VLOOKUP($L412,Data_Validation!$A:$E,5,0)</f>
        <v>$</v>
      </c>
      <c r="X412" s="656">
        <f>+VLOOKUP($L412,Data_Validation!$A:$F,6,0)</f>
        <v>0</v>
      </c>
    </row>
    <row r="413" spans="1:24" ht="15.75" customHeight="1">
      <c r="A413" s="1218" t="s">
        <v>1187</v>
      </c>
      <c r="B413" s="1218" t="s">
        <v>2684</v>
      </c>
      <c r="C413" s="1220">
        <v>114.94</v>
      </c>
      <c r="D413" s="1220">
        <v>0</v>
      </c>
      <c r="E413" s="1220">
        <v>114.94</v>
      </c>
      <c r="F413" s="1218" t="s">
        <v>1154</v>
      </c>
      <c r="G413" s="1218" t="s">
        <v>1188</v>
      </c>
      <c r="H413" s="1218" t="s">
        <v>3950</v>
      </c>
      <c r="I413" s="1024"/>
      <c r="J413" s="1024"/>
      <c r="K413" s="1024"/>
      <c r="L413" s="653" t="str">
        <f t="shared" si="196"/>
        <v>6742</v>
      </c>
      <c r="M413" s="654" t="str">
        <f t="shared" si="197"/>
        <v>FOURNITURES &amp; PETITS OUTILS</v>
      </c>
      <c r="N413" s="655">
        <f>+IF(OR($Q413=Parametres!$G$2,$Q413=Parametres!$G$3),I413,C413)</f>
        <v>114.94</v>
      </c>
      <c r="O413" s="655">
        <f>+IF(OR($Q413=Parametres!$G$2,$Q413=Parametres!$G$3),J413,D413)</f>
        <v>0</v>
      </c>
      <c r="P413" s="655">
        <f>+IF(OR($Q413=Parametres!$G$2,$Q413=Parametres!$G$3),K413,E413)</f>
        <v>114.94</v>
      </c>
      <c r="Q413" s="654" t="str">
        <f t="shared" si="198"/>
        <v>7-Dépenses</v>
      </c>
      <c r="R413" s="653" t="str">
        <f t="shared" si="199"/>
        <v>6142</v>
      </c>
      <c r="S413" s="654" t="str">
        <f t="shared" si="200"/>
        <v>_</v>
      </c>
      <c r="T413" s="656" t="str">
        <f>+VLOOKUP($L413,Data_Validation!$A:$D,1,0)</f>
        <v>6742</v>
      </c>
      <c r="U413" s="656" t="str">
        <f>+VLOOKUP($L413,Data_Validation!$A:$D,3,0)</f>
        <v>Pièces</v>
      </c>
      <c r="V413" s="656" t="str">
        <f>+VLOOKUP($L413,Data_Validation!$A:$D,4,0)</f>
        <v>Fournitures autres</v>
      </c>
      <c r="W413" s="656" t="str">
        <f>+VLOOKUP($L413,Data_Validation!$A:$E,5,0)</f>
        <v>$</v>
      </c>
      <c r="X413" s="656">
        <f>+VLOOKUP($L413,Data_Validation!$A:$F,6,0)</f>
        <v>0</v>
      </c>
    </row>
    <row r="414" spans="1:24" ht="15.75" customHeight="1">
      <c r="A414" s="1218" t="s">
        <v>1189</v>
      </c>
      <c r="B414" s="1218" t="s">
        <v>2687</v>
      </c>
      <c r="C414" s="1220">
        <v>361.45</v>
      </c>
      <c r="D414" s="1220">
        <v>0</v>
      </c>
      <c r="E414" s="1220">
        <v>361.45</v>
      </c>
      <c r="F414" s="1218" t="s">
        <v>1154</v>
      </c>
      <c r="G414" s="1218" t="s">
        <v>1190</v>
      </c>
      <c r="H414" s="1218" t="s">
        <v>3950</v>
      </c>
      <c r="I414" s="1024"/>
      <c r="J414" s="1024"/>
      <c r="K414" s="1024"/>
      <c r="L414" s="653" t="str">
        <f t="shared" si="196"/>
        <v>6743</v>
      </c>
      <c r="M414" s="654" t="str">
        <f t="shared" si="197"/>
        <v>UNIFORMES &amp; LESSIVE</v>
      </c>
      <c r="N414" s="655">
        <f>+IF(OR($Q414=Parametres!$G$2,$Q414=Parametres!$G$3),I414,C414)</f>
        <v>361.45</v>
      </c>
      <c r="O414" s="655">
        <f>+IF(OR($Q414=Parametres!$G$2,$Q414=Parametres!$G$3),J414,D414)</f>
        <v>0</v>
      </c>
      <c r="P414" s="655">
        <f>+IF(OR($Q414=Parametres!$G$2,$Q414=Parametres!$G$3),K414,E414)</f>
        <v>361.45</v>
      </c>
      <c r="Q414" s="654" t="str">
        <f t="shared" si="198"/>
        <v>7-Dépenses</v>
      </c>
      <c r="R414" s="653" t="str">
        <f t="shared" si="199"/>
        <v>6143</v>
      </c>
      <c r="S414" s="654" t="str">
        <f t="shared" si="200"/>
        <v>_</v>
      </c>
      <c r="T414" s="656" t="str">
        <f>+VLOOKUP($L414,Data_Validation!$A:$D,1,0)</f>
        <v>6743</v>
      </c>
      <c r="U414" s="656" t="str">
        <f>+VLOOKUP($L414,Data_Validation!$A:$D,3,0)</f>
        <v>Pièces</v>
      </c>
      <c r="V414" s="656" t="str">
        <f>+VLOOKUP($L414,Data_Validation!$A:$D,4,0)</f>
        <v>Uniformes</v>
      </c>
      <c r="W414" s="656" t="str">
        <f>+VLOOKUP($L414,Data_Validation!$A:$E,5,0)</f>
        <v>$</v>
      </c>
      <c r="X414" s="656">
        <f>+VLOOKUP($L414,Data_Validation!$A:$F,6,0)</f>
        <v>0</v>
      </c>
    </row>
    <row r="415" spans="1:24" ht="15.75" customHeight="1">
      <c r="A415" s="1218" t="s">
        <v>1191</v>
      </c>
      <c r="B415" s="1218" t="s">
        <v>2690</v>
      </c>
      <c r="C415" s="1220">
        <v>974.17</v>
      </c>
      <c r="D415" s="1220">
        <v>471.28</v>
      </c>
      <c r="E415" s="1220">
        <v>1445.45</v>
      </c>
      <c r="F415" s="1218" t="s">
        <v>1154</v>
      </c>
      <c r="G415" s="1218" t="s">
        <v>1192</v>
      </c>
      <c r="H415" s="1218" t="s">
        <v>3950</v>
      </c>
      <c r="I415" s="1024"/>
      <c r="J415" s="1024"/>
      <c r="K415" s="1024"/>
      <c r="L415" s="653" t="str">
        <f t="shared" si="196"/>
        <v>6744</v>
      </c>
      <c r="M415" s="654" t="str">
        <f t="shared" si="197"/>
        <v>FORMATION</v>
      </c>
      <c r="N415" s="655">
        <f>+IF(OR($Q415=Parametres!$G$2,$Q415=Parametres!$G$3),I415,C415)</f>
        <v>974.17</v>
      </c>
      <c r="O415" s="655">
        <f>+IF(OR($Q415=Parametres!$G$2,$Q415=Parametres!$G$3),J415,D415)</f>
        <v>471.28</v>
      </c>
      <c r="P415" s="655">
        <f>+IF(OR($Q415=Parametres!$G$2,$Q415=Parametres!$G$3),K415,E415)</f>
        <v>1445.45</v>
      </c>
      <c r="Q415" s="654" t="str">
        <f t="shared" si="198"/>
        <v>7-Dépenses</v>
      </c>
      <c r="R415" s="653" t="str">
        <f t="shared" si="199"/>
        <v>6144</v>
      </c>
      <c r="S415" s="654" t="str">
        <f t="shared" si="200"/>
        <v>_</v>
      </c>
      <c r="T415" s="656" t="str">
        <f>+VLOOKUP($L415,Data_Validation!$A:$D,1,0)</f>
        <v>6744</v>
      </c>
      <c r="U415" s="656" t="str">
        <f>+VLOOKUP($L415,Data_Validation!$A:$D,3,0)</f>
        <v>Pièces</v>
      </c>
      <c r="V415" s="656" t="str">
        <f>+VLOOKUP($L415,Data_Validation!$A:$D,4,0)</f>
        <v>Formation</v>
      </c>
      <c r="W415" s="656" t="str">
        <f>+VLOOKUP($L415,Data_Validation!$A:$E,5,0)</f>
        <v>$</v>
      </c>
      <c r="X415" s="656">
        <f>+VLOOKUP($L415,Data_Validation!$A:$F,6,0)</f>
        <v>0</v>
      </c>
    </row>
    <row r="416" spans="1:24" ht="15.75" customHeight="1">
      <c r="A416" s="1218" t="s">
        <v>1193</v>
      </c>
      <c r="B416" s="1218" t="s">
        <v>2693</v>
      </c>
      <c r="C416" s="1220">
        <v>7362.31</v>
      </c>
      <c r="D416" s="1220">
        <v>1088.69</v>
      </c>
      <c r="E416" s="1220">
        <v>8451</v>
      </c>
      <c r="F416" s="1218" t="s">
        <v>1154</v>
      </c>
      <c r="G416" s="1218" t="s">
        <v>1194</v>
      </c>
      <c r="H416" s="1218" t="s">
        <v>3950</v>
      </c>
      <c r="I416" s="1024"/>
      <c r="J416" s="1024"/>
      <c r="K416" s="1024"/>
      <c r="L416" s="653" t="str">
        <f t="shared" si="196"/>
        <v>6745</v>
      </c>
      <c r="M416" s="654" t="str">
        <f t="shared" si="197"/>
        <v>VEHICULE DE COMPAGNIE - DEPENS</v>
      </c>
      <c r="N416" s="655">
        <f>+IF(OR($Q416=Parametres!$G$2,$Q416=Parametres!$G$3),I416,C416)</f>
        <v>7362.31</v>
      </c>
      <c r="O416" s="655">
        <f>+IF(OR($Q416=Parametres!$G$2,$Q416=Parametres!$G$3),J416,D416)</f>
        <v>1088.69</v>
      </c>
      <c r="P416" s="655">
        <f>+IF(OR($Q416=Parametres!$G$2,$Q416=Parametres!$G$3),K416,E416)</f>
        <v>8451</v>
      </c>
      <c r="Q416" s="654" t="str">
        <f t="shared" si="198"/>
        <v>7-Dépenses</v>
      </c>
      <c r="R416" s="653" t="str">
        <f t="shared" si="199"/>
        <v>6145</v>
      </c>
      <c r="S416" s="654" t="str">
        <f t="shared" si="200"/>
        <v>_</v>
      </c>
      <c r="T416" s="656" t="str">
        <f>+VLOOKUP($L416,Data_Validation!$A:$D,1,0)</f>
        <v>6745</v>
      </c>
      <c r="U416" s="656" t="str">
        <f>+VLOOKUP($L416,Data_Validation!$A:$D,3,0)</f>
        <v>Pièces</v>
      </c>
      <c r="V416" s="656" t="str">
        <f>+VLOOKUP($L416,Data_Validation!$A:$D,4,0)</f>
        <v>Frais véhicules de cie</v>
      </c>
      <c r="W416" s="656" t="str">
        <f>+VLOOKUP($L416,Data_Validation!$A:$E,5,0)</f>
        <v>$</v>
      </c>
      <c r="X416" s="656">
        <f>+VLOOKUP($L416,Data_Validation!$A:$F,6,0)</f>
        <v>0</v>
      </c>
    </row>
    <row r="417" spans="1:24" ht="15.75" customHeight="1">
      <c r="A417" s="1218" t="s">
        <v>1195</v>
      </c>
      <c r="B417" s="1218" t="s">
        <v>2696</v>
      </c>
      <c r="C417" s="1220">
        <v>-2112.9299999999998</v>
      </c>
      <c r="D417" s="1220">
        <v>-335.96</v>
      </c>
      <c r="E417" s="1220">
        <v>-2448.89</v>
      </c>
      <c r="F417" s="1218" t="s">
        <v>1154</v>
      </c>
      <c r="G417" s="1218" t="s">
        <v>1196</v>
      </c>
      <c r="H417" s="1218" t="s">
        <v>3950</v>
      </c>
      <c r="I417" s="1209"/>
      <c r="J417" s="1209"/>
      <c r="K417" s="1209"/>
      <c r="L417" s="653" t="str">
        <f t="shared" si="196"/>
        <v>6747</v>
      </c>
      <c r="M417" s="654" t="str">
        <f t="shared" si="197"/>
        <v>FRET/EXPRESS/TRANS. PAR CAMION</v>
      </c>
      <c r="N417" s="655">
        <f>+IF(OR($Q417=Parametres!$G$2,$Q417=Parametres!$G$3),I417,C417)</f>
        <v>-2112.9299999999998</v>
      </c>
      <c r="O417" s="655">
        <f>+IF(OR($Q417=Parametres!$G$2,$Q417=Parametres!$G$3),J417,D417)</f>
        <v>-335.96</v>
      </c>
      <c r="P417" s="655">
        <f>+IF(OR($Q417=Parametres!$G$2,$Q417=Parametres!$G$3),K417,E417)</f>
        <v>-2448.89</v>
      </c>
      <c r="Q417" s="654" t="str">
        <f t="shared" si="198"/>
        <v>7-Dépenses</v>
      </c>
      <c r="R417" s="653" t="str">
        <f t="shared" si="199"/>
        <v>6147</v>
      </c>
      <c r="S417" s="654" t="str">
        <f t="shared" si="200"/>
        <v>_</v>
      </c>
      <c r="T417" s="656" t="str">
        <f>+VLOOKUP($L417,Data_Validation!$A:$D,1,0)</f>
        <v>6747</v>
      </c>
      <c r="U417" s="656" t="str">
        <f>+VLOOKUP($L417,Data_Validation!$A:$D,3,0)</f>
        <v>Pièces</v>
      </c>
      <c r="V417" s="656" t="str">
        <f>+VLOOKUP($L417,Data_Validation!$A:$D,4,0)</f>
        <v>Frais postaux</v>
      </c>
      <c r="W417" s="656" t="str">
        <f>+VLOOKUP($L417,Data_Validation!$A:$E,5,0)</f>
        <v>$</v>
      </c>
      <c r="X417" s="656">
        <f>+VLOOKUP($L417,Data_Validation!$A:$F,6,0)</f>
        <v>0</v>
      </c>
    </row>
    <row r="418" spans="1:24" ht="15.75" customHeight="1">
      <c r="A418" s="1218" t="s">
        <v>1197</v>
      </c>
      <c r="B418" s="1218" t="s">
        <v>2698</v>
      </c>
      <c r="C418" s="1220">
        <v>39463.53</v>
      </c>
      <c r="D418" s="1220">
        <v>5753.09</v>
      </c>
      <c r="E418" s="1220">
        <v>45216.62</v>
      </c>
      <c r="F418" s="1218" t="s">
        <v>1154</v>
      </c>
      <c r="G418" s="1218" t="s">
        <v>1198</v>
      </c>
      <c r="H418" s="1218" t="s">
        <v>3950</v>
      </c>
      <c r="I418" s="1209"/>
      <c r="J418" s="1209"/>
      <c r="K418" s="1209"/>
      <c r="L418" s="653" t="str">
        <f t="shared" si="196"/>
        <v>6751</v>
      </c>
      <c r="M418" s="654" t="str">
        <f t="shared" si="197"/>
        <v>DEP. DU TRAITEMENT DES DONNEES</v>
      </c>
      <c r="N418" s="655">
        <f>+IF(OR($Q418=Parametres!$G$2,$Q418=Parametres!$G$3),I418,C418)</f>
        <v>39463.53</v>
      </c>
      <c r="O418" s="655">
        <f>+IF(OR($Q418=Parametres!$G$2,$Q418=Parametres!$G$3),J418,D418)</f>
        <v>5753.09</v>
      </c>
      <c r="P418" s="655">
        <f>+IF(OR($Q418=Parametres!$G$2,$Q418=Parametres!$G$3),K418,E418)</f>
        <v>45216.62</v>
      </c>
      <c r="Q418" s="654" t="str">
        <f t="shared" si="198"/>
        <v>7-Dépenses</v>
      </c>
      <c r="R418" s="653" t="str">
        <f t="shared" si="199"/>
        <v>6151</v>
      </c>
      <c r="S418" s="654" t="str">
        <f t="shared" si="200"/>
        <v>_</v>
      </c>
      <c r="T418" s="656" t="str">
        <f>+VLOOKUP($L418,Data_Validation!$A:$D,1,0)</f>
        <v>6751</v>
      </c>
      <c r="U418" s="656" t="str">
        <f>+VLOOKUP($L418,Data_Validation!$A:$D,3,0)</f>
        <v>Pièces</v>
      </c>
      <c r="V418" s="656" t="str">
        <f>+VLOOKUP($L418,Data_Validation!$A:$D,4,0)</f>
        <v>Informatique</v>
      </c>
      <c r="W418" s="656" t="str">
        <f>+VLOOKUP($L418,Data_Validation!$A:$E,5,0)</f>
        <v>$</v>
      </c>
      <c r="X418" s="656">
        <f>+VLOOKUP($L418,Data_Validation!$A:$F,6,0)</f>
        <v>0</v>
      </c>
    </row>
    <row r="419" spans="1:24" ht="15.75" customHeight="1">
      <c r="A419" s="1218" t="s">
        <v>1199</v>
      </c>
      <c r="B419" s="1218" t="s">
        <v>2701</v>
      </c>
      <c r="C419" s="1220">
        <v>2547.35</v>
      </c>
      <c r="D419" s="1220">
        <v>799.65</v>
      </c>
      <c r="E419" s="1220">
        <v>3347</v>
      </c>
      <c r="F419" s="1218" t="s">
        <v>1154</v>
      </c>
      <c r="G419" s="1218" t="s">
        <v>1200</v>
      </c>
      <c r="H419" s="1218" t="s">
        <v>3950</v>
      </c>
      <c r="I419" s="1209"/>
      <c r="J419" s="1209"/>
      <c r="K419" s="1209"/>
      <c r="L419" s="653" t="str">
        <f t="shared" si="196"/>
        <v>6752</v>
      </c>
      <c r="M419" s="654" t="str">
        <f t="shared" si="197"/>
        <v>PAPETERIE</v>
      </c>
      <c r="N419" s="655">
        <f>+IF(OR($Q419=Parametres!$G$2,$Q419=Parametres!$G$3),I419,C419)</f>
        <v>2547.35</v>
      </c>
      <c r="O419" s="655">
        <f>+IF(OR($Q419=Parametres!$G$2,$Q419=Parametres!$G$3),J419,D419)</f>
        <v>799.65</v>
      </c>
      <c r="P419" s="655">
        <f>+IF(OR($Q419=Parametres!$G$2,$Q419=Parametres!$G$3),K419,E419)</f>
        <v>3347</v>
      </c>
      <c r="Q419" s="654" t="str">
        <f t="shared" si="198"/>
        <v>7-Dépenses</v>
      </c>
      <c r="R419" s="653" t="str">
        <f t="shared" si="199"/>
        <v>6152</v>
      </c>
      <c r="S419" s="654" t="str">
        <f t="shared" si="200"/>
        <v>_</v>
      </c>
      <c r="T419" s="656" t="str">
        <f>+VLOOKUP($L419,Data_Validation!$A:$D,1,0)</f>
        <v>6752</v>
      </c>
      <c r="U419" s="656" t="str">
        <f>+VLOOKUP($L419,Data_Validation!$A:$D,3,0)</f>
        <v>Pièces</v>
      </c>
      <c r="V419" s="656" t="str">
        <f>+VLOOKUP($L419,Data_Validation!$A:$D,4,0)</f>
        <v>Papeterie</v>
      </c>
      <c r="W419" s="656" t="str">
        <f>+VLOOKUP($L419,Data_Validation!$A:$E,5,0)</f>
        <v>$</v>
      </c>
      <c r="X419" s="656">
        <f>+VLOOKUP($L419,Data_Validation!$A:$F,6,0)</f>
        <v>0</v>
      </c>
    </row>
    <row r="420" spans="1:24" ht="15.75" customHeight="1">
      <c r="A420" s="1218" t="s">
        <v>1201</v>
      </c>
      <c r="B420" s="1218" t="s">
        <v>2704</v>
      </c>
      <c r="C420" s="1220">
        <v>603.75</v>
      </c>
      <c r="D420" s="1220">
        <v>62.25</v>
      </c>
      <c r="E420" s="1220">
        <v>666</v>
      </c>
      <c r="F420" s="1218" t="s">
        <v>1154</v>
      </c>
      <c r="G420" s="1218" t="s">
        <v>1202</v>
      </c>
      <c r="H420" s="1218" t="s">
        <v>3950</v>
      </c>
      <c r="I420" s="1209"/>
      <c r="J420" s="1209"/>
      <c r="K420" s="1209"/>
      <c r="L420" s="653" t="str">
        <f t="shared" si="196"/>
        <v>6753</v>
      </c>
      <c r="M420" s="654" t="str">
        <f t="shared" si="197"/>
        <v>TELEPHONE ET TELEX</v>
      </c>
      <c r="N420" s="655">
        <f>+IF(OR($Q420=Parametres!$G$2,$Q420=Parametres!$G$3),I420,C420)</f>
        <v>603.75</v>
      </c>
      <c r="O420" s="655">
        <f>+IF(OR($Q420=Parametres!$G$2,$Q420=Parametres!$G$3),J420,D420)</f>
        <v>62.25</v>
      </c>
      <c r="P420" s="655">
        <f>+IF(OR($Q420=Parametres!$G$2,$Q420=Parametres!$G$3),K420,E420)</f>
        <v>666</v>
      </c>
      <c r="Q420" s="654" t="str">
        <f t="shared" si="198"/>
        <v>7-Dépenses</v>
      </c>
      <c r="R420" s="653" t="str">
        <f t="shared" si="199"/>
        <v>6153</v>
      </c>
      <c r="S420" s="654" t="str">
        <f t="shared" si="200"/>
        <v>_</v>
      </c>
      <c r="T420" s="656" t="str">
        <f>+VLOOKUP($L420,Data_Validation!$A:$D,1,0)</f>
        <v>6753</v>
      </c>
      <c r="U420" s="656" t="str">
        <f>+VLOOKUP($L420,Data_Validation!$A:$D,3,0)</f>
        <v>Pièces</v>
      </c>
      <c r="V420" s="656" t="str">
        <f>+VLOOKUP($L420,Data_Validation!$A:$D,4,0)</f>
        <v>Téléphone</v>
      </c>
      <c r="W420" s="656" t="str">
        <f>+VLOOKUP($L420,Data_Validation!$A:$E,5,0)</f>
        <v>$</v>
      </c>
      <c r="X420" s="656">
        <f>+VLOOKUP($L420,Data_Validation!$A:$F,6,0)</f>
        <v>0</v>
      </c>
    </row>
    <row r="421" spans="1:24" ht="15.75" customHeight="1">
      <c r="A421" s="1218" t="s">
        <v>1203</v>
      </c>
      <c r="B421" s="1218" t="s">
        <v>2707</v>
      </c>
      <c r="C421" s="1220">
        <v>411.96</v>
      </c>
      <c r="D421" s="1220">
        <v>49</v>
      </c>
      <c r="E421" s="1220">
        <v>460.96</v>
      </c>
      <c r="F421" s="1218" t="s">
        <v>1154</v>
      </c>
      <c r="G421" s="1218" t="s">
        <v>1204</v>
      </c>
      <c r="H421" s="1218" t="s">
        <v>3950</v>
      </c>
      <c r="I421" s="1209"/>
      <c r="J421" s="1209"/>
      <c r="K421" s="1209"/>
      <c r="L421" s="653" t="str">
        <f t="shared" si="196"/>
        <v>6755</v>
      </c>
      <c r="M421" s="654" t="str">
        <f t="shared" si="197"/>
        <v>DEPENSES DIVERS</v>
      </c>
      <c r="N421" s="655">
        <f>+IF(OR($Q421=Parametres!$G$2,$Q421=Parametres!$G$3),I421,C421)</f>
        <v>411.96</v>
      </c>
      <c r="O421" s="655">
        <f>+IF(OR($Q421=Parametres!$G$2,$Q421=Parametres!$G$3),J421,D421)</f>
        <v>49</v>
      </c>
      <c r="P421" s="655">
        <f>+IF(OR($Q421=Parametres!$G$2,$Q421=Parametres!$G$3),K421,E421)</f>
        <v>460.96</v>
      </c>
      <c r="Q421" s="654" t="str">
        <f t="shared" si="198"/>
        <v>7-Dépenses</v>
      </c>
      <c r="R421" s="653" t="str">
        <f t="shared" si="199"/>
        <v>6155</v>
      </c>
      <c r="S421" s="654" t="str">
        <f t="shared" si="200"/>
        <v>_</v>
      </c>
      <c r="T421" s="656" t="str">
        <f>+VLOOKUP($L421,Data_Validation!$A:$D,1,0)</f>
        <v>6755</v>
      </c>
      <c r="U421" s="656" t="str">
        <f>+VLOOKUP($L421,Data_Validation!$A:$D,3,0)</f>
        <v>Pièces</v>
      </c>
      <c r="V421" s="656" t="str">
        <f>+VLOOKUP($L421,Data_Validation!$A:$D,4,0)</f>
        <v>Divers</v>
      </c>
      <c r="W421" s="656" t="str">
        <f>+VLOOKUP($L421,Data_Validation!$A:$E,5,0)</f>
        <v>$</v>
      </c>
      <c r="X421" s="656">
        <f>+VLOOKUP($L421,Data_Validation!$A:$F,6,0)</f>
        <v>0</v>
      </c>
    </row>
    <row r="422" spans="1:24" ht="15.75" customHeight="1">
      <c r="A422" s="1218" t="s">
        <v>1277</v>
      </c>
      <c r="B422" s="1218" t="s">
        <v>2710</v>
      </c>
      <c r="C422" s="1220">
        <v>5980.22</v>
      </c>
      <c r="D422" s="1220">
        <v>641.58000000000004</v>
      </c>
      <c r="E422" s="1220">
        <v>6621.8</v>
      </c>
      <c r="F422" s="1218" t="s">
        <v>1154</v>
      </c>
      <c r="G422" s="1218" t="s">
        <v>1206</v>
      </c>
      <c r="H422" s="1218" t="s">
        <v>3950</v>
      </c>
      <c r="I422" s="1209"/>
      <c r="J422" s="1209"/>
      <c r="K422" s="1209"/>
      <c r="L422" s="653" t="str">
        <f t="shared" si="196"/>
        <v>6756</v>
      </c>
      <c r="M422" s="654" t="str">
        <f t="shared" si="197"/>
        <v>FRAIS REPRESENTATION - PIECES</v>
      </c>
      <c r="N422" s="655">
        <f>+IF(OR($Q422=Parametres!$G$2,$Q422=Parametres!$G$3),I422,C422)</f>
        <v>5980.22</v>
      </c>
      <c r="O422" s="655">
        <f>+IF(OR($Q422=Parametres!$G$2,$Q422=Parametres!$G$3),J422,D422)</f>
        <v>641.58000000000004</v>
      </c>
      <c r="P422" s="655">
        <f>+IF(OR($Q422=Parametres!$G$2,$Q422=Parametres!$G$3),K422,E422)</f>
        <v>6621.8</v>
      </c>
      <c r="Q422" s="654" t="str">
        <f t="shared" si="198"/>
        <v>7-Dépenses</v>
      </c>
      <c r="R422" s="653" t="str">
        <f t="shared" si="199"/>
        <v>6156</v>
      </c>
      <c r="S422" s="654" t="str">
        <f t="shared" si="200"/>
        <v>_</v>
      </c>
      <c r="T422" s="656" t="str">
        <f>+VLOOKUP($L422,Data_Validation!$A:$D,1,0)</f>
        <v>6756</v>
      </c>
      <c r="U422" s="656" t="str">
        <f>+VLOOKUP($L422,Data_Validation!$A:$D,3,0)</f>
        <v>Pièces</v>
      </c>
      <c r="V422" s="656" t="str">
        <f>+VLOOKUP($L422,Data_Validation!$A:$D,4,0)</f>
        <v>Frais de déplacement</v>
      </c>
      <c r="W422" s="656" t="str">
        <f>+VLOOKUP($L422,Data_Validation!$A:$E,5,0)</f>
        <v>$</v>
      </c>
      <c r="X422" s="656">
        <f>+VLOOKUP($L422,Data_Validation!$A:$F,6,0)</f>
        <v>0</v>
      </c>
    </row>
    <row r="423" spans="1:24" ht="15.75" customHeight="1">
      <c r="A423" s="1218" t="s">
        <v>1278</v>
      </c>
      <c r="B423" s="1218" t="s">
        <v>3401</v>
      </c>
      <c r="C423" s="1220">
        <v>9515.9699999999993</v>
      </c>
      <c r="D423" s="1220">
        <v>1733.14</v>
      </c>
      <c r="E423" s="1220">
        <v>11249.11</v>
      </c>
      <c r="F423" s="1218" t="s">
        <v>1154</v>
      </c>
      <c r="G423" s="1218" t="s">
        <v>3339</v>
      </c>
      <c r="H423" s="1218" t="s">
        <v>3950</v>
      </c>
      <c r="I423" s="1209"/>
      <c r="J423" s="1209"/>
      <c r="K423" s="1209"/>
      <c r="L423" s="653" t="str">
        <f t="shared" si="196"/>
        <v>6757</v>
      </c>
      <c r="M423" s="654" t="str">
        <f t="shared" si="197"/>
        <v>FRAIS BANCAIRES - PIECES</v>
      </c>
      <c r="N423" s="655">
        <f>+IF(OR($Q423=Parametres!$G$2,$Q423=Parametres!$G$3),I423,C423)</f>
        <v>9515.9699999999993</v>
      </c>
      <c r="O423" s="655">
        <f>+IF(OR($Q423=Parametres!$G$2,$Q423=Parametres!$G$3),J423,D423)</f>
        <v>1733.14</v>
      </c>
      <c r="P423" s="655">
        <f>+IF(OR($Q423=Parametres!$G$2,$Q423=Parametres!$G$3),K423,E423)</f>
        <v>11249.11</v>
      </c>
      <c r="Q423" s="654" t="str">
        <f t="shared" si="198"/>
        <v>7-Dépenses</v>
      </c>
      <c r="R423" s="653" t="str">
        <f t="shared" si="199"/>
        <v>675</v>
      </c>
      <c r="S423" s="654" t="str">
        <f t="shared" si="200"/>
        <v>_</v>
      </c>
      <c r="T423" s="656" t="str">
        <f>+VLOOKUP($L423,Data_Validation!$A:$D,1,0)</f>
        <v>6757</v>
      </c>
      <c r="U423" s="656" t="str">
        <f>+VLOOKUP($L423,Data_Validation!$A:$D,3,0)</f>
        <v>Pièces</v>
      </c>
      <c r="V423" s="656" t="str">
        <f>+VLOOKUP($L423,Data_Validation!$A:$D,4,0)</f>
        <v>Frais bancaires</v>
      </c>
      <c r="W423" s="656" t="str">
        <f>+VLOOKUP($L423,Data_Validation!$A:$E,5,0)</f>
        <v>$</v>
      </c>
      <c r="X423" s="656">
        <f>+VLOOKUP($L423,Data_Validation!$A:$F,6,0)</f>
        <v>0</v>
      </c>
    </row>
    <row r="424" spans="1:24" ht="15.75" customHeight="1">
      <c r="A424" s="1218" t="s">
        <v>3889</v>
      </c>
      <c r="B424" s="1218" t="s">
        <v>3890</v>
      </c>
      <c r="C424" s="1220">
        <v>64520</v>
      </c>
      <c r="D424" s="1220">
        <v>11160</v>
      </c>
      <c r="E424" s="1220">
        <v>75680</v>
      </c>
      <c r="F424" s="1218" t="s">
        <v>1154</v>
      </c>
      <c r="G424" s="1218" t="s">
        <v>1210</v>
      </c>
      <c r="H424" s="1218" t="s">
        <v>3950</v>
      </c>
      <c r="I424" s="1209"/>
      <c r="J424" s="1209"/>
      <c r="K424" s="1209"/>
      <c r="L424" s="653" t="str">
        <f t="shared" si="196"/>
        <v>6758</v>
      </c>
      <c r="M424" s="654" t="str">
        <f t="shared" si="197"/>
        <v>FRAIS DE LIVRAISON PIECES</v>
      </c>
      <c r="N424" s="655">
        <f>+IF(OR($Q424=Parametres!$G$2,$Q424=Parametres!$G$3),I424,C424)</f>
        <v>64520</v>
      </c>
      <c r="O424" s="655">
        <f>+IF(OR($Q424=Parametres!$G$2,$Q424=Parametres!$G$3),J424,D424)</f>
        <v>11160</v>
      </c>
      <c r="P424" s="655">
        <f>+IF(OR($Q424=Parametres!$G$2,$Q424=Parametres!$G$3),K424,E424)</f>
        <v>75680</v>
      </c>
      <c r="Q424" s="654" t="str">
        <f t="shared" si="198"/>
        <v>7-Dépenses</v>
      </c>
      <c r="R424" s="653" t="str">
        <f t="shared" si="199"/>
        <v>6159</v>
      </c>
      <c r="S424" s="654" t="str">
        <f t="shared" si="200"/>
        <v>_</v>
      </c>
      <c r="T424" s="656" t="str">
        <f>+VLOOKUP($L424,Data_Validation!$A:$D,1,0)</f>
        <v>6758</v>
      </c>
      <c r="U424" s="656" t="str">
        <f>+VLOOKUP($L424,Data_Validation!$A:$D,3,0)</f>
        <v>Pièces</v>
      </c>
      <c r="V424" s="656" t="str">
        <f>+VLOOKUP($L424,Data_Validation!$A:$D,4,0)</f>
        <v>Services extérieurs</v>
      </c>
      <c r="W424" s="656" t="str">
        <f>+VLOOKUP($L424,Data_Validation!$A:$E,5,0)</f>
        <v>$</v>
      </c>
      <c r="X424" s="656">
        <f>+VLOOKUP($L424,Data_Validation!$A:$F,6,0)</f>
        <v>0</v>
      </c>
    </row>
    <row r="425" spans="1:24" ht="15.75" customHeight="1">
      <c r="A425" s="1218" t="s">
        <v>1209</v>
      </c>
      <c r="B425" s="1218" t="s">
        <v>2713</v>
      </c>
      <c r="C425" s="1220">
        <v>19301.43</v>
      </c>
      <c r="D425" s="1220">
        <v>3951.77</v>
      </c>
      <c r="E425" s="1220">
        <v>23253.200000000001</v>
      </c>
      <c r="F425" s="1218" t="s">
        <v>1154</v>
      </c>
      <c r="G425" s="1218" t="s">
        <v>1210</v>
      </c>
      <c r="H425" s="1218" t="s">
        <v>3950</v>
      </c>
      <c r="I425" s="1209"/>
      <c r="J425" s="1209"/>
      <c r="K425" s="1209"/>
      <c r="L425" s="653" t="str">
        <f t="shared" si="196"/>
        <v>6759</v>
      </c>
      <c r="M425" s="654" t="str">
        <f t="shared" si="197"/>
        <v>SERVICE EXTERIEUR</v>
      </c>
      <c r="N425" s="655">
        <f>+IF(OR($Q425=Parametres!$G$2,$Q425=Parametres!$G$3),I425,C425)</f>
        <v>19301.43</v>
      </c>
      <c r="O425" s="655">
        <f>+IF(OR($Q425=Parametres!$G$2,$Q425=Parametres!$G$3),J425,D425)</f>
        <v>3951.77</v>
      </c>
      <c r="P425" s="655">
        <f>+IF(OR($Q425=Parametres!$G$2,$Q425=Parametres!$G$3),K425,E425)</f>
        <v>23253.200000000001</v>
      </c>
      <c r="Q425" s="654" t="str">
        <f t="shared" si="198"/>
        <v>7-Dépenses</v>
      </c>
      <c r="R425" s="653" t="str">
        <f t="shared" si="199"/>
        <v>6159</v>
      </c>
      <c r="S425" s="654" t="str">
        <f t="shared" si="200"/>
        <v>_</v>
      </c>
      <c r="T425" s="656" t="str">
        <f>+VLOOKUP($L425,Data_Validation!$A:$D,1,0)</f>
        <v>6759</v>
      </c>
      <c r="U425" s="656" t="str">
        <f>+VLOOKUP($L425,Data_Validation!$A:$D,3,0)</f>
        <v>Pièces</v>
      </c>
      <c r="V425" s="656" t="str">
        <f>+VLOOKUP($L425,Data_Validation!$A:$D,4,0)</f>
        <v>Services extérieurs</v>
      </c>
      <c r="W425" s="656" t="str">
        <f>+VLOOKUP($L425,Data_Validation!$A:$E,5,0)</f>
        <v>$</v>
      </c>
      <c r="X425" s="656">
        <f>+VLOOKUP($L425,Data_Validation!$A:$F,6,0)</f>
        <v>0</v>
      </c>
    </row>
    <row r="426" spans="1:24" ht="15.75" customHeight="1">
      <c r="A426" s="1218" t="s">
        <v>1211</v>
      </c>
      <c r="B426" s="1218" t="s">
        <v>2716</v>
      </c>
      <c r="C426" s="1220">
        <v>63972</v>
      </c>
      <c r="D426" s="1220">
        <v>10662</v>
      </c>
      <c r="E426" s="1220">
        <v>74634</v>
      </c>
      <c r="F426" s="1218" t="s">
        <v>1154</v>
      </c>
      <c r="G426" s="1218" t="s">
        <v>1212</v>
      </c>
      <c r="H426" s="1218" t="s">
        <v>3950</v>
      </c>
      <c r="I426" s="1209"/>
      <c r="J426" s="1209"/>
      <c r="K426" s="1209"/>
      <c r="L426" s="653" t="str">
        <f t="shared" si="196"/>
        <v>6761</v>
      </c>
      <c r="M426" s="654" t="str">
        <f t="shared" si="197"/>
        <v>DEPRECIATION EQUIP. &amp; FIXTURES</v>
      </c>
      <c r="N426" s="655">
        <f>+IF(OR($Q426=Parametres!$G$2,$Q426=Parametres!$G$3),I426,C426)</f>
        <v>63972</v>
      </c>
      <c r="O426" s="655">
        <f>+IF(OR($Q426=Parametres!$G$2,$Q426=Parametres!$G$3),J426,D426)</f>
        <v>10662</v>
      </c>
      <c r="P426" s="655">
        <f>+IF(OR($Q426=Parametres!$G$2,$Q426=Parametres!$G$3),K426,E426)</f>
        <v>74634</v>
      </c>
      <c r="Q426" s="654" t="str">
        <f t="shared" si="198"/>
        <v>7-Dépenses</v>
      </c>
      <c r="R426" s="653" t="str">
        <f t="shared" si="199"/>
        <v>6161</v>
      </c>
      <c r="S426" s="654" t="str">
        <f t="shared" si="200"/>
        <v>_</v>
      </c>
      <c r="T426" s="656" t="str">
        <f>+VLOOKUP($L426,Data_Validation!$A:$D,1,0)</f>
        <v>6761</v>
      </c>
      <c r="U426" s="656" t="str">
        <f>+VLOOKUP($L426,Data_Validation!$A:$D,3,0)</f>
        <v>Pièces</v>
      </c>
      <c r="V426" s="656" t="str">
        <f>+VLOOKUP($L426,Data_Validation!$A:$D,4,0)</f>
        <v>Amortissement</v>
      </c>
      <c r="W426" s="656" t="str">
        <f>+VLOOKUP($L426,Data_Validation!$A:$E,5,0)</f>
        <v>$</v>
      </c>
      <c r="X426" s="656">
        <f>+VLOOKUP($L426,Data_Validation!$A:$F,6,0)</f>
        <v>0</v>
      </c>
    </row>
    <row r="427" spans="1:24" ht="15.75" customHeight="1">
      <c r="A427" s="1218" t="s">
        <v>1279</v>
      </c>
      <c r="B427" s="1218" t="s">
        <v>2725</v>
      </c>
      <c r="C427" s="1220">
        <v>10657.78</v>
      </c>
      <c r="D427" s="1220">
        <v>1230.3499999999999</v>
      </c>
      <c r="E427" s="1220">
        <v>11888.13</v>
      </c>
      <c r="F427" s="1218" t="s">
        <v>1154</v>
      </c>
      <c r="G427" s="1218" t="s">
        <v>1214</v>
      </c>
      <c r="H427" s="1218" t="s">
        <v>3950</v>
      </c>
      <c r="I427" s="1209"/>
      <c r="J427" s="1209"/>
      <c r="K427" s="1209"/>
      <c r="L427" s="653" t="str">
        <f t="shared" si="196"/>
        <v>6781</v>
      </c>
      <c r="M427" s="654" t="str">
        <f t="shared" si="197"/>
        <v>CHAUFFAGE,ELECTRICITE,EAU-PIECES</v>
      </c>
      <c r="N427" s="655">
        <f>+IF(OR($Q427=Parametres!$G$2,$Q427=Parametres!$G$3),I427,C427)</f>
        <v>10657.78</v>
      </c>
      <c r="O427" s="655">
        <f>+IF(OR($Q427=Parametres!$G$2,$Q427=Parametres!$G$3),J427,D427)</f>
        <v>1230.3499999999999</v>
      </c>
      <c r="P427" s="655">
        <f>+IF(OR($Q427=Parametres!$G$2,$Q427=Parametres!$G$3),K427,E427)</f>
        <v>11888.13</v>
      </c>
      <c r="Q427" s="654" t="str">
        <f t="shared" si="198"/>
        <v>7-Dépenses</v>
      </c>
      <c r="R427" s="653" t="str">
        <f t="shared" si="199"/>
        <v>6181</v>
      </c>
      <c r="S427" s="654" t="str">
        <f t="shared" si="200"/>
        <v>_</v>
      </c>
      <c r="T427" s="656" t="str">
        <f>+VLOOKUP($L427,Data_Validation!$A:$D,1,0)</f>
        <v>6781</v>
      </c>
      <c r="U427" s="656" t="str">
        <f>+VLOOKUP($L427,Data_Validation!$A:$D,3,0)</f>
        <v>Pièces</v>
      </c>
      <c r="V427" s="656" t="str">
        <f>+VLOOKUP($L427,Data_Validation!$A:$D,4,0)</f>
        <v>Chauffage, éclairage</v>
      </c>
      <c r="W427" s="656" t="str">
        <f>+VLOOKUP($L427,Data_Validation!$A:$E,5,0)</f>
        <v>$</v>
      </c>
      <c r="X427" s="656">
        <f>+VLOOKUP($L427,Data_Validation!$A:$F,6,0)</f>
        <v>0</v>
      </c>
    </row>
    <row r="428" spans="1:24" ht="15.75" customHeight="1">
      <c r="A428" s="1218" t="s">
        <v>1280</v>
      </c>
      <c r="B428" s="1218" t="s">
        <v>2728</v>
      </c>
      <c r="C428" s="1220">
        <v>54000</v>
      </c>
      <c r="D428" s="1220">
        <v>9000</v>
      </c>
      <c r="E428" s="1220">
        <v>63000</v>
      </c>
      <c r="F428" s="1218" t="s">
        <v>1154</v>
      </c>
      <c r="G428" s="1218" t="s">
        <v>1216</v>
      </c>
      <c r="H428" s="1218" t="s">
        <v>3950</v>
      </c>
      <c r="I428" s="1209"/>
      <c r="J428" s="1209"/>
      <c r="K428" s="1209"/>
      <c r="L428" s="653" t="str">
        <f t="shared" si="196"/>
        <v>6782</v>
      </c>
      <c r="M428" s="654" t="str">
        <f t="shared" si="197"/>
        <v>LOYER - PIECES</v>
      </c>
      <c r="N428" s="655">
        <f>+IF(OR($Q428=Parametres!$G$2,$Q428=Parametres!$G$3),I428,C428)</f>
        <v>54000</v>
      </c>
      <c r="O428" s="655">
        <f>+IF(OR($Q428=Parametres!$G$2,$Q428=Parametres!$G$3),J428,D428)</f>
        <v>9000</v>
      </c>
      <c r="P428" s="655">
        <f>+IF(OR($Q428=Parametres!$G$2,$Q428=Parametres!$G$3),K428,E428)</f>
        <v>63000</v>
      </c>
      <c r="Q428" s="654" t="str">
        <f t="shared" si="198"/>
        <v>7-Dépenses</v>
      </c>
      <c r="R428" s="653" t="str">
        <f t="shared" si="199"/>
        <v>6182</v>
      </c>
      <c r="S428" s="654" t="str">
        <f t="shared" si="200"/>
        <v>_</v>
      </c>
      <c r="T428" s="656" t="str">
        <f>+VLOOKUP($L428,Data_Validation!$A:$D,1,0)</f>
        <v>6782</v>
      </c>
      <c r="U428" s="656" t="str">
        <f>+VLOOKUP($L428,Data_Validation!$A:$D,3,0)</f>
        <v>Pièces</v>
      </c>
      <c r="V428" s="656" t="str">
        <f>+VLOOKUP($L428,Data_Validation!$A:$D,4,0)</f>
        <v>Loyer</v>
      </c>
      <c r="W428" s="656" t="str">
        <f>+VLOOKUP($L428,Data_Validation!$A:$E,5,0)</f>
        <v>$</v>
      </c>
      <c r="X428" s="656">
        <f>+VLOOKUP($L428,Data_Validation!$A:$F,6,0)</f>
        <v>0</v>
      </c>
    </row>
    <row r="429" spans="1:24" ht="15.75" customHeight="1">
      <c r="A429" s="1218" t="s">
        <v>1281</v>
      </c>
      <c r="B429" s="1218" t="s">
        <v>2731</v>
      </c>
      <c r="C429" s="1220">
        <v>6516.36</v>
      </c>
      <c r="D429" s="1220">
        <v>1086.06</v>
      </c>
      <c r="E429" s="1220">
        <v>7602.42</v>
      </c>
      <c r="F429" s="1218" t="s">
        <v>1154</v>
      </c>
      <c r="G429" s="1218" t="s">
        <v>1218</v>
      </c>
      <c r="H429" s="1218" t="s">
        <v>3950</v>
      </c>
      <c r="I429" s="1210"/>
      <c r="J429" s="1210"/>
      <c r="K429" s="1210"/>
      <c r="L429" s="653" t="str">
        <f t="shared" si="196"/>
        <v>6786</v>
      </c>
      <c r="M429" s="654" t="str">
        <f t="shared" si="197"/>
        <v>ASSURANCE BATISSE &amp; AMEL.-PIECES</v>
      </c>
      <c r="N429" s="655">
        <f>+IF(OR($Q429=Parametres!$G$2,$Q429=Parametres!$G$3),I429,C429)</f>
        <v>6516.36</v>
      </c>
      <c r="O429" s="655">
        <f>+IF(OR($Q429=Parametres!$G$2,$Q429=Parametres!$G$3),J429,D429)</f>
        <v>1086.06</v>
      </c>
      <c r="P429" s="655">
        <f>+IF(OR($Q429=Parametres!$G$2,$Q429=Parametres!$G$3),K429,E429)</f>
        <v>7602.42</v>
      </c>
      <c r="Q429" s="654" t="str">
        <f t="shared" si="198"/>
        <v>7-Dépenses</v>
      </c>
      <c r="R429" s="653" t="str">
        <f t="shared" si="199"/>
        <v>6186</v>
      </c>
      <c r="S429" s="654" t="str">
        <f t="shared" si="200"/>
        <v>_</v>
      </c>
      <c r="T429" s="656" t="str">
        <f>+VLOOKUP($L429,Data_Validation!$A:$D,1,0)</f>
        <v>6786</v>
      </c>
      <c r="U429" s="656" t="str">
        <f>+VLOOKUP($L429,Data_Validation!$A:$D,3,0)</f>
        <v>Pièces</v>
      </c>
      <c r="V429" s="656" t="str">
        <f>+VLOOKUP($L429,Data_Validation!$A:$D,4,0)</f>
        <v>Assurances</v>
      </c>
      <c r="W429" s="656" t="str">
        <f>+VLOOKUP($L429,Data_Validation!$A:$E,5,0)</f>
        <v>$</v>
      </c>
      <c r="X429" s="656">
        <f>+VLOOKUP($L429,Data_Validation!$A:$F,6,0)</f>
        <v>0</v>
      </c>
    </row>
    <row r="430" spans="1:24" ht="15.75" customHeight="1">
      <c r="A430" s="1218" t="s">
        <v>1282</v>
      </c>
      <c r="B430" s="1218" t="s">
        <v>2734</v>
      </c>
      <c r="C430" s="1220">
        <v>8134.5</v>
      </c>
      <c r="D430" s="1220">
        <v>1355.75</v>
      </c>
      <c r="E430" s="1220">
        <v>9490.25</v>
      </c>
      <c r="F430" s="1218" t="s">
        <v>1154</v>
      </c>
      <c r="G430" s="1218" t="s">
        <v>1220</v>
      </c>
      <c r="H430" s="1218" t="s">
        <v>3950</v>
      </c>
      <c r="I430" s="1210"/>
      <c r="J430" s="1210"/>
      <c r="K430" s="1210"/>
      <c r="L430" s="653" t="str">
        <f t="shared" si="196"/>
        <v>6787</v>
      </c>
      <c r="M430" s="654" t="str">
        <f t="shared" si="197"/>
        <v>TAXES FONCIERES - PIECES</v>
      </c>
      <c r="N430" s="655">
        <f>+IF(OR($Q430=Parametres!$G$2,$Q430=Parametres!$G$3),I430,C430)</f>
        <v>8134.5</v>
      </c>
      <c r="O430" s="655">
        <f>+IF(OR($Q430=Parametres!$G$2,$Q430=Parametres!$G$3),J430,D430)</f>
        <v>1355.75</v>
      </c>
      <c r="P430" s="655">
        <f>+IF(OR($Q430=Parametres!$G$2,$Q430=Parametres!$G$3),K430,E430)</f>
        <v>9490.25</v>
      </c>
      <c r="Q430" s="654" t="str">
        <f t="shared" si="198"/>
        <v>7-Dépenses</v>
      </c>
      <c r="R430" s="653" t="str">
        <f t="shared" si="199"/>
        <v>6187</v>
      </c>
      <c r="S430" s="654" t="str">
        <f t="shared" si="200"/>
        <v>_</v>
      </c>
      <c r="T430" s="656" t="str">
        <f>+VLOOKUP($L430,Data_Validation!$A:$D,1,0)</f>
        <v>6787</v>
      </c>
      <c r="U430" s="656" t="str">
        <f>+VLOOKUP($L430,Data_Validation!$A:$D,3,0)</f>
        <v>Pièces</v>
      </c>
      <c r="V430" s="656" t="str">
        <f>+VLOOKUP($L430,Data_Validation!$A:$D,4,0)</f>
        <v>Taxes foncières</v>
      </c>
      <c r="W430" s="656" t="str">
        <f>+VLOOKUP($L430,Data_Validation!$A:$E,5,0)</f>
        <v>$</v>
      </c>
      <c r="X430" s="656">
        <f>+VLOOKUP($L430,Data_Validation!$A:$F,6,0)</f>
        <v>0</v>
      </c>
    </row>
    <row r="431" spans="1:24" ht="15.75" customHeight="1">
      <c r="A431" s="1218" t="s">
        <v>1283</v>
      </c>
      <c r="B431" s="1218" t="s">
        <v>2737</v>
      </c>
      <c r="C431" s="1220">
        <v>6063.5</v>
      </c>
      <c r="D431" s="1220">
        <v>902.25</v>
      </c>
      <c r="E431" s="1220">
        <v>6965.75</v>
      </c>
      <c r="F431" s="1218" t="s">
        <v>1154</v>
      </c>
      <c r="G431" s="1218" t="s">
        <v>1222</v>
      </c>
      <c r="H431" s="1218" t="s">
        <v>3950</v>
      </c>
      <c r="I431" s="1210"/>
      <c r="J431" s="1210"/>
      <c r="K431" s="1210"/>
      <c r="L431" s="653" t="str">
        <f t="shared" si="196"/>
        <v>6793</v>
      </c>
      <c r="M431" s="654" t="str">
        <f t="shared" si="197"/>
        <v>AUTRES TAXES - PIECES</v>
      </c>
      <c r="N431" s="655">
        <f>+IF(OR($Q431=Parametres!$G$2,$Q431=Parametres!$G$3),I431,C431)</f>
        <v>6063.5</v>
      </c>
      <c r="O431" s="655">
        <f>+IF(OR($Q431=Parametres!$G$2,$Q431=Parametres!$G$3),J431,D431)</f>
        <v>902.25</v>
      </c>
      <c r="P431" s="655">
        <f>+IF(OR($Q431=Parametres!$G$2,$Q431=Parametres!$G$3),K431,E431)</f>
        <v>6965.75</v>
      </c>
      <c r="Q431" s="654" t="str">
        <f t="shared" si="198"/>
        <v>7-Dépenses</v>
      </c>
      <c r="R431" s="653" t="str">
        <f t="shared" si="199"/>
        <v>6193</v>
      </c>
      <c r="S431" s="654" t="str">
        <f t="shared" si="200"/>
        <v>_</v>
      </c>
      <c r="T431" s="656" t="str">
        <f>+VLOOKUP($L431,Data_Validation!$A:$D,1,0)</f>
        <v>6793</v>
      </c>
      <c r="U431" s="656" t="str">
        <f>+VLOOKUP($L431,Data_Validation!$A:$D,3,0)</f>
        <v>Pièces</v>
      </c>
      <c r="V431" s="656" t="str">
        <f>+VLOOKUP($L431,Data_Validation!$A:$D,4,0)</f>
        <v>Taxes d`affaires</v>
      </c>
      <c r="W431" s="656" t="str">
        <f>+VLOOKUP($L431,Data_Validation!$A:$E,5,0)</f>
        <v>$</v>
      </c>
      <c r="X431" s="656">
        <f>+VLOOKUP($L431,Data_Validation!$A:$F,6,0)</f>
        <v>0</v>
      </c>
    </row>
    <row r="432" spans="1:24" ht="15.75" customHeight="1">
      <c r="A432" s="1218" t="s">
        <v>1284</v>
      </c>
      <c r="B432" s="1218" t="s">
        <v>2740</v>
      </c>
      <c r="C432" s="1220">
        <v>9989.48</v>
      </c>
      <c r="D432" s="1220">
        <v>2683.32</v>
      </c>
      <c r="E432" s="1220">
        <v>12672.8</v>
      </c>
      <c r="F432" s="1218" t="s">
        <v>1154</v>
      </c>
      <c r="G432" s="1218" t="s">
        <v>1224</v>
      </c>
      <c r="H432" s="1218" t="s">
        <v>3950</v>
      </c>
      <c r="I432" s="1210"/>
      <c r="J432" s="1210"/>
      <c r="K432" s="1210"/>
      <c r="L432" s="653" t="str">
        <f t="shared" si="196"/>
        <v>6794</v>
      </c>
      <c r="M432" s="654" t="str">
        <f t="shared" si="197"/>
        <v>FRAIS PROFESSIONNEL-PIECES</v>
      </c>
      <c r="N432" s="655">
        <f>+IF(OR($Q432=Parametres!$G$2,$Q432=Parametres!$G$3),I432,C432)</f>
        <v>9989.48</v>
      </c>
      <c r="O432" s="655">
        <f>+IF(OR($Q432=Parametres!$G$2,$Q432=Parametres!$G$3),J432,D432)</f>
        <v>2683.32</v>
      </c>
      <c r="P432" s="655">
        <f>+IF(OR($Q432=Parametres!$G$2,$Q432=Parametres!$G$3),K432,E432)</f>
        <v>12672.8</v>
      </c>
      <c r="Q432" s="654" t="str">
        <f t="shared" si="198"/>
        <v>7-Dépenses</v>
      </c>
      <c r="R432" s="653" t="str">
        <f t="shared" si="199"/>
        <v>6194</v>
      </c>
      <c r="S432" s="654" t="str">
        <f t="shared" si="200"/>
        <v>_</v>
      </c>
      <c r="T432" s="656" t="str">
        <f>+VLOOKUP($L432,Data_Validation!$A:$D,1,0)</f>
        <v>6794</v>
      </c>
      <c r="U432" s="656" t="str">
        <f>+VLOOKUP($L432,Data_Validation!$A:$D,3,0)</f>
        <v>Pièces</v>
      </c>
      <c r="V432" s="656" t="str">
        <f>+VLOOKUP($L432,Data_Validation!$A:$D,4,0)</f>
        <v>Honoraires</v>
      </c>
      <c r="W432" s="656" t="str">
        <f>+VLOOKUP($L432,Data_Validation!$A:$E,5,0)</f>
        <v>$</v>
      </c>
      <c r="X432" s="656">
        <f>+VLOOKUP($L432,Data_Validation!$A:$F,6,0)</f>
        <v>0</v>
      </c>
    </row>
    <row r="433" spans="1:24" ht="15.75" customHeight="1">
      <c r="A433" s="1218" t="s">
        <v>1287</v>
      </c>
      <c r="B433" s="1218" t="s">
        <v>2751</v>
      </c>
      <c r="C433" s="1220">
        <v>-408293.55</v>
      </c>
      <c r="D433" s="1220">
        <v>-94826.85</v>
      </c>
      <c r="E433" s="1220">
        <v>-503120.4</v>
      </c>
      <c r="F433" s="1218" t="s">
        <v>1285</v>
      </c>
      <c r="G433" s="1218" t="s">
        <v>1286</v>
      </c>
      <c r="H433" s="1218" t="s">
        <v>3950</v>
      </c>
      <c r="I433" s="1219"/>
      <c r="J433" s="1219"/>
      <c r="K433" s="1219"/>
      <c r="L433" s="653" t="str">
        <f t="shared" si="196"/>
        <v>9149</v>
      </c>
      <c r="M433" s="654" t="str">
        <f t="shared" si="197"/>
        <v>REVENU RESERVE VOLKS</v>
      </c>
      <c r="N433" s="655">
        <f>+IF(OR($Q433=Parametres!$G$2,$Q433=Parametres!$G$3),I433,C433)</f>
        <v>-408293.55</v>
      </c>
      <c r="O433" s="655">
        <f>+IF(OR($Q433=Parametres!$G$2,$Q433=Parametres!$G$3),J433,D433)</f>
        <v>-94826.85</v>
      </c>
      <c r="P433" s="655">
        <f>+IF(OR($Q433=Parametres!$G$2,$Q433=Parametres!$G$3),K433,E433)</f>
        <v>-503120.4</v>
      </c>
      <c r="Q433" s="654" t="str">
        <f t="shared" si="198"/>
        <v>8-Autres revenus</v>
      </c>
      <c r="R433" s="653" t="str">
        <f t="shared" si="199"/>
        <v>9101</v>
      </c>
      <c r="S433" s="654" t="str">
        <f t="shared" si="200"/>
        <v>_</v>
      </c>
      <c r="T433" s="656" t="str">
        <f>+VLOOKUP($L433,Data_Validation!$A:$D,1,0)</f>
        <v>9149</v>
      </c>
      <c r="U433" s="656" t="str">
        <f>+VLOOKUP($L433,Data_Validation!$A:$D,3,0)</f>
        <v>Véhicules neufs</v>
      </c>
      <c r="V433" s="656" t="str">
        <f>+VLOOKUP($L433,Data_Validation!$A:$D,4,0)</f>
        <v>Holdbacks</v>
      </c>
      <c r="W433" s="656" t="str">
        <f>+VLOOKUP($L433,Data_Validation!$A:$E,5,0)</f>
        <v>$</v>
      </c>
      <c r="X433" s="656">
        <f>+VLOOKUP($L433,Data_Validation!$A:$F,6,0)</f>
        <v>0</v>
      </c>
    </row>
    <row r="434" spans="1:24" ht="15.75" customHeight="1">
      <c r="A434" s="1218" t="s">
        <v>1288</v>
      </c>
      <c r="B434" s="1218" t="s">
        <v>1289</v>
      </c>
      <c r="C434" s="1220">
        <v>-56002.86</v>
      </c>
      <c r="D434" s="1220">
        <v>-7947.07</v>
      </c>
      <c r="E434" s="1220">
        <v>-63949.93</v>
      </c>
      <c r="F434" s="1218" t="s">
        <v>1285</v>
      </c>
      <c r="G434" s="1218" t="s">
        <v>1289</v>
      </c>
      <c r="H434" s="1218" t="s">
        <v>3950</v>
      </c>
      <c r="I434" s="1219"/>
      <c r="J434" s="1219"/>
      <c r="K434" s="1219"/>
      <c r="L434" s="653" t="str">
        <f t="shared" si="196"/>
        <v>9152</v>
      </c>
      <c r="M434" s="654" t="str">
        <f t="shared" si="197"/>
        <v>ESCOMPTES SUR ACHAT PIECES</v>
      </c>
      <c r="N434" s="655">
        <f>+IF(OR($Q434=Parametres!$G$2,$Q434=Parametres!$G$3),I434,C434)</f>
        <v>-56002.86</v>
      </c>
      <c r="O434" s="655">
        <f>+IF(OR($Q434=Parametres!$G$2,$Q434=Parametres!$G$3),J434,D434)</f>
        <v>-7947.07</v>
      </c>
      <c r="P434" s="655">
        <f>+IF(OR($Q434=Parametres!$G$2,$Q434=Parametres!$G$3),K434,E434)</f>
        <v>-63949.93</v>
      </c>
      <c r="Q434" s="654" t="str">
        <f t="shared" si="198"/>
        <v>8-Autres revenus</v>
      </c>
      <c r="R434" s="653" t="str">
        <f t="shared" si="199"/>
        <v>9152</v>
      </c>
      <c r="S434" s="654" t="str">
        <f t="shared" si="200"/>
        <v>_</v>
      </c>
      <c r="T434" s="656" t="str">
        <f>+VLOOKUP($L434,Data_Validation!$A:$D,1,0)</f>
        <v>9152</v>
      </c>
      <c r="U434" s="656" t="str">
        <f>+VLOOKUP($L434,Data_Validation!$A:$D,3,0)</f>
        <v>Pièces</v>
      </c>
      <c r="V434" s="656" t="str">
        <f>+VLOOKUP($L434,Data_Validation!$A:$D,4,0)</f>
        <v>Escomptes</v>
      </c>
      <c r="W434" s="656" t="str">
        <f>+VLOOKUP($L434,Data_Validation!$A:$E,5,0)</f>
        <v>$</v>
      </c>
      <c r="X434" s="656">
        <f>+VLOOKUP($L434,Data_Validation!$A:$F,6,0)</f>
        <v>0</v>
      </c>
    </row>
    <row r="435" spans="1:24" ht="15.75" customHeight="1">
      <c r="A435" s="1218" t="s">
        <v>3415</v>
      </c>
      <c r="B435" s="1218" t="s">
        <v>2756</v>
      </c>
      <c r="C435" s="1220">
        <v>-12000</v>
      </c>
      <c r="D435" s="1220">
        <v>0</v>
      </c>
      <c r="E435" s="1220">
        <v>-12000</v>
      </c>
      <c r="F435" s="1218" t="s">
        <v>1285</v>
      </c>
      <c r="G435" s="1218" t="s">
        <v>3416</v>
      </c>
      <c r="H435" s="1218" t="s">
        <v>3950</v>
      </c>
      <c r="I435" s="1219"/>
      <c r="J435" s="1219"/>
      <c r="K435" s="1219"/>
      <c r="L435" s="653" t="str">
        <f t="shared" si="196"/>
        <v>9157</v>
      </c>
      <c r="M435" s="654" t="str">
        <f t="shared" si="197"/>
        <v>BONUS EXPERIENCE + - NV</v>
      </c>
      <c r="N435" s="655">
        <f>+IF(OR($Q435=Parametres!$G$2,$Q435=Parametres!$G$3),I435,C435)</f>
        <v>-12000</v>
      </c>
      <c r="O435" s="655">
        <f>+IF(OR($Q435=Parametres!$G$2,$Q435=Parametres!$G$3),J435,D435)</f>
        <v>0</v>
      </c>
      <c r="P435" s="655">
        <f>+IF(OR($Q435=Parametres!$G$2,$Q435=Parametres!$G$3),K435,E435)</f>
        <v>-12000</v>
      </c>
      <c r="Q435" s="654" t="str">
        <f t="shared" si="198"/>
        <v>8-Autres revenus</v>
      </c>
      <c r="R435" s="653" t="str">
        <f t="shared" si="199"/>
        <v>915</v>
      </c>
      <c r="S435" s="654" t="str">
        <f t="shared" si="200"/>
        <v>_</v>
      </c>
      <c r="T435" s="656" t="str">
        <f>+VLOOKUP($L435,Data_Validation!$A:$D,1,0)</f>
        <v>9157</v>
      </c>
      <c r="U435" s="656" t="str">
        <f>+VLOOKUP($L435,Data_Validation!$A:$D,3,0)</f>
        <v>Véhicules neufs</v>
      </c>
      <c r="V435" s="656" t="str">
        <f>+VLOOKUP($L435,Data_Validation!$A:$D,4,0)</f>
        <v>Programme neuf 1</v>
      </c>
      <c r="W435" s="656" t="str">
        <f>+VLOOKUP($L435,Data_Validation!$A:$E,5,0)</f>
        <v>$</v>
      </c>
      <c r="X435" s="656">
        <f>+VLOOKUP($L435,Data_Validation!$A:$F,6,0)</f>
        <v>0</v>
      </c>
    </row>
    <row r="436" spans="1:24" ht="15.75" customHeight="1">
      <c r="A436" s="1218" t="s">
        <v>1290</v>
      </c>
      <c r="B436" s="1218" t="s">
        <v>1291</v>
      </c>
      <c r="C436" s="1220">
        <v>-1929.64</v>
      </c>
      <c r="D436" s="1220">
        <v>-604.54999999999995</v>
      </c>
      <c r="E436" s="1220">
        <v>-2534.19</v>
      </c>
      <c r="F436" s="1218" t="s">
        <v>1285</v>
      </c>
      <c r="G436" s="1218" t="s">
        <v>1291</v>
      </c>
      <c r="H436" s="1218" t="s">
        <v>3950</v>
      </c>
      <c r="I436" s="1219"/>
      <c r="J436" s="1219"/>
      <c r="K436" s="1219"/>
      <c r="L436" s="653" t="str">
        <f t="shared" si="196"/>
        <v>9161</v>
      </c>
      <c r="M436" s="654" t="str">
        <f t="shared" si="197"/>
        <v>REVENU FIN ET ASS NEUF</v>
      </c>
      <c r="N436" s="655">
        <f>+IF(OR($Q436=Parametres!$G$2,$Q436=Parametres!$G$3),I436,C436)</f>
        <v>-1929.64</v>
      </c>
      <c r="O436" s="655">
        <f>+IF(OR($Q436=Parametres!$G$2,$Q436=Parametres!$G$3),J436,D436)</f>
        <v>-604.54999999999995</v>
      </c>
      <c r="P436" s="655">
        <f>+IF(OR($Q436=Parametres!$G$2,$Q436=Parametres!$G$3),K436,E436)</f>
        <v>-2534.19</v>
      </c>
      <c r="Q436" s="654" t="str">
        <f t="shared" si="198"/>
        <v>8-Autres revenus</v>
      </c>
      <c r="R436" s="653" t="str">
        <f t="shared" si="199"/>
        <v>9161</v>
      </c>
      <c r="S436" s="654" t="str">
        <f t="shared" si="200"/>
        <v>_</v>
      </c>
      <c r="T436" s="656" t="str">
        <f>+VLOOKUP($L436,Data_Validation!$A:$D,1,0)</f>
        <v>9161</v>
      </c>
      <c r="U436" s="656" t="str">
        <f>+VLOOKUP($L436,Data_Validation!$A:$D,3,0)</f>
        <v>Véhicules neufs</v>
      </c>
      <c r="V436" s="656" t="str">
        <f>+VLOOKUP($L436,Data_Validation!$A:$D,4,0)</f>
        <v>Rev. Finances</v>
      </c>
      <c r="W436" s="656" t="str">
        <f>+VLOOKUP($L436,Data_Validation!$A:$E,5,0)</f>
        <v>$</v>
      </c>
      <c r="X436" s="656" t="str">
        <f>+VLOOKUP($L436,Data_Validation!$A:$F,6,0)</f>
        <v>Oui</v>
      </c>
    </row>
    <row r="437" spans="1:24" ht="15.75" customHeight="1">
      <c r="A437" s="1218" t="s">
        <v>1294</v>
      </c>
      <c r="B437" s="1218" t="s">
        <v>1295</v>
      </c>
      <c r="C437" s="1220">
        <v>-55425.02</v>
      </c>
      <c r="D437" s="1220">
        <v>-12604.88</v>
      </c>
      <c r="E437" s="1220">
        <v>-68029.899999999994</v>
      </c>
      <c r="F437" s="1218" t="s">
        <v>1285</v>
      </c>
      <c r="G437" s="1218" t="s">
        <v>1295</v>
      </c>
      <c r="H437" s="1218" t="s">
        <v>3950</v>
      </c>
      <c r="I437" s="1219"/>
      <c r="J437" s="1219"/>
      <c r="K437" s="1219"/>
      <c r="L437" s="653" t="str">
        <f t="shared" si="196"/>
        <v>9163</v>
      </c>
      <c r="M437" s="654" t="str">
        <f t="shared" si="197"/>
        <v>RESERVE FIN ET ASS VEH OCCASION</v>
      </c>
      <c r="N437" s="655">
        <f>+IF(OR($Q437=Parametres!$G$2,$Q437=Parametres!$G$3),I437,C437)</f>
        <v>-55425.02</v>
      </c>
      <c r="O437" s="655">
        <f>+IF(OR($Q437=Parametres!$G$2,$Q437=Parametres!$G$3),J437,D437)</f>
        <v>-12604.88</v>
      </c>
      <c r="P437" s="655">
        <f>+IF(OR($Q437=Parametres!$G$2,$Q437=Parametres!$G$3),K437,E437)</f>
        <v>-68029.899999999994</v>
      </c>
      <c r="Q437" s="654" t="str">
        <f t="shared" si="198"/>
        <v>8-Autres revenus</v>
      </c>
      <c r="R437" s="653" t="str">
        <f t="shared" si="199"/>
        <v>9163</v>
      </c>
      <c r="S437" s="654" t="str">
        <f t="shared" si="200"/>
        <v>_</v>
      </c>
      <c r="T437" s="656" t="str">
        <f>+VLOOKUP($L437,Data_Validation!$A:$D,1,0)</f>
        <v>9163</v>
      </c>
      <c r="U437" s="656" t="str">
        <f>+VLOOKUP($L437,Data_Validation!$A:$D,3,0)</f>
        <v>Véhicules usagés</v>
      </c>
      <c r="V437" s="656" t="str">
        <f>+VLOOKUP($L437,Data_Validation!$A:$D,4,0)</f>
        <v>Rev. Finances</v>
      </c>
      <c r="W437" s="656" t="str">
        <f>+VLOOKUP($L437,Data_Validation!$A:$E,5,0)</f>
        <v>$</v>
      </c>
      <c r="X437" s="656" t="str">
        <f>+VLOOKUP($L437,Data_Validation!$A:$F,6,0)</f>
        <v>Oui</v>
      </c>
    </row>
    <row r="438" spans="1:24" ht="15.75" customHeight="1">
      <c r="A438" s="1218" t="s">
        <v>1297</v>
      </c>
      <c r="B438" s="1218" t="s">
        <v>2763</v>
      </c>
      <c r="C438" s="1220">
        <v>-1026.6400000000001</v>
      </c>
      <c r="D438" s="1220">
        <v>-186.54</v>
      </c>
      <c r="E438" s="1220">
        <v>-1213.18</v>
      </c>
      <c r="F438" s="1218" t="s">
        <v>1285</v>
      </c>
      <c r="G438" s="1218" t="s">
        <v>1291</v>
      </c>
      <c r="H438" s="1218" t="s">
        <v>3950</v>
      </c>
      <c r="I438" s="1219"/>
      <c r="J438" s="1219"/>
      <c r="K438" s="1219"/>
      <c r="L438" s="653" t="str">
        <f t="shared" si="196"/>
        <v>9165</v>
      </c>
      <c r="M438" s="654" t="str">
        <f t="shared" si="197"/>
        <v>REV. ASSURANCES NEUF</v>
      </c>
      <c r="N438" s="655">
        <f>+IF(OR($Q438=Parametres!$G$2,$Q438=Parametres!$G$3),I438,C438)</f>
        <v>-1026.6400000000001</v>
      </c>
      <c r="O438" s="655">
        <f>+IF(OR($Q438=Parametres!$G$2,$Q438=Parametres!$G$3),J438,D438)</f>
        <v>-186.54</v>
      </c>
      <c r="P438" s="655">
        <f>+IF(OR($Q438=Parametres!$G$2,$Q438=Parametres!$G$3),K438,E438)</f>
        <v>-1213.18</v>
      </c>
      <c r="Q438" s="654" t="str">
        <f t="shared" si="198"/>
        <v>8-Autres revenus</v>
      </c>
      <c r="R438" s="653" t="str">
        <f t="shared" si="199"/>
        <v>9161</v>
      </c>
      <c r="S438" s="654" t="str">
        <f t="shared" si="200"/>
        <v>_</v>
      </c>
      <c r="T438" s="656" t="str">
        <f>+VLOOKUP($L438,Data_Validation!$A:$D,1,0)</f>
        <v>9165</v>
      </c>
      <c r="U438" s="656" t="str">
        <f>+VLOOKUP($L438,Data_Validation!$A:$D,3,0)</f>
        <v>Véhicules neufs</v>
      </c>
      <c r="V438" s="656" t="str">
        <f>+VLOOKUP($L438,Data_Validation!$A:$D,4,0)</f>
        <v>Rev. Autres</v>
      </c>
      <c r="W438" s="656" t="str">
        <f>+VLOOKUP($L438,Data_Validation!$A:$E,5,0)</f>
        <v>$</v>
      </c>
      <c r="X438" s="656" t="str">
        <f>+VLOOKUP($L438,Data_Validation!$A:$F,6,0)</f>
        <v>Oui</v>
      </c>
    </row>
    <row r="439" spans="1:24" ht="15.75" customHeight="1">
      <c r="A439" s="1218" t="s">
        <v>1298</v>
      </c>
      <c r="B439" s="1218" t="s">
        <v>2766</v>
      </c>
      <c r="C439" s="1220">
        <v>-6244.09</v>
      </c>
      <c r="D439" s="1220">
        <v>-802.82</v>
      </c>
      <c r="E439" s="1220">
        <v>-7046.91</v>
      </c>
      <c r="F439" s="1218" t="s">
        <v>1285</v>
      </c>
      <c r="G439" s="1218" t="s">
        <v>1295</v>
      </c>
      <c r="H439" s="1218" t="s">
        <v>3950</v>
      </c>
      <c r="I439" s="1219"/>
      <c r="J439" s="1219"/>
      <c r="K439" s="1219"/>
      <c r="L439" s="653" t="str">
        <f t="shared" si="196"/>
        <v>9167</v>
      </c>
      <c r="M439" s="654" t="str">
        <f t="shared" si="197"/>
        <v>REV ASSURANCE USAGE</v>
      </c>
      <c r="N439" s="655">
        <f>+IF(OR($Q439=Parametres!$G$2,$Q439=Parametres!$G$3),I439,C439)</f>
        <v>-6244.09</v>
      </c>
      <c r="O439" s="655">
        <f>+IF(OR($Q439=Parametres!$G$2,$Q439=Parametres!$G$3),J439,D439)</f>
        <v>-802.82</v>
      </c>
      <c r="P439" s="655">
        <f>+IF(OR($Q439=Parametres!$G$2,$Q439=Parametres!$G$3),K439,E439)</f>
        <v>-7046.91</v>
      </c>
      <c r="Q439" s="654" t="str">
        <f t="shared" si="198"/>
        <v>8-Autres revenus</v>
      </c>
      <c r="R439" s="653" t="str">
        <f t="shared" si="199"/>
        <v>9163</v>
      </c>
      <c r="S439" s="654" t="str">
        <f t="shared" si="200"/>
        <v>_</v>
      </c>
      <c r="T439" s="656" t="str">
        <f>+VLOOKUP($L439,Data_Validation!$A:$D,1,0)</f>
        <v>9167</v>
      </c>
      <c r="U439" s="656" t="str">
        <f>+VLOOKUP($L439,Data_Validation!$A:$D,3,0)</f>
        <v>Véhicules usagés</v>
      </c>
      <c r="V439" s="656" t="str">
        <f>+VLOOKUP($L439,Data_Validation!$A:$D,4,0)</f>
        <v>Rev. Autres</v>
      </c>
      <c r="W439" s="656" t="str">
        <f>+VLOOKUP($L439,Data_Validation!$A:$E,5,0)</f>
        <v>$</v>
      </c>
      <c r="X439" s="656" t="str">
        <f>+VLOOKUP($L439,Data_Validation!$A:$F,6,0)</f>
        <v>Oui</v>
      </c>
    </row>
    <row r="440" spans="1:24" ht="15.75" customHeight="1">
      <c r="A440" s="1218" t="s">
        <v>1301</v>
      </c>
      <c r="B440" s="1218" t="s">
        <v>2769</v>
      </c>
      <c r="C440" s="1220">
        <v>-61096</v>
      </c>
      <c r="D440" s="1220">
        <v>-13807</v>
      </c>
      <c r="E440" s="1220">
        <v>-74903</v>
      </c>
      <c r="F440" s="1218" t="s">
        <v>1285</v>
      </c>
      <c r="G440" s="1218" t="s">
        <v>1291</v>
      </c>
      <c r="H440" s="1218" t="s">
        <v>3950</v>
      </c>
      <c r="I440" s="1219"/>
      <c r="J440" s="1219"/>
      <c r="K440" s="1219"/>
      <c r="L440" s="653" t="str">
        <f t="shared" si="196"/>
        <v>9169</v>
      </c>
      <c r="M440" s="654" t="str">
        <f t="shared" si="197"/>
        <v>REV GARANTIE PROLONGEE NEUF</v>
      </c>
      <c r="N440" s="655">
        <f>+IF(OR($Q440=Parametres!$G$2,$Q440=Parametres!$G$3),I440,C440)</f>
        <v>-61096</v>
      </c>
      <c r="O440" s="655">
        <f>+IF(OR($Q440=Parametres!$G$2,$Q440=Parametres!$G$3),J440,D440)</f>
        <v>-13807</v>
      </c>
      <c r="P440" s="655">
        <f>+IF(OR($Q440=Parametres!$G$2,$Q440=Parametres!$G$3),K440,E440)</f>
        <v>-74903</v>
      </c>
      <c r="Q440" s="654" t="str">
        <f t="shared" si="198"/>
        <v>8-Autres revenus</v>
      </c>
      <c r="R440" s="653" t="str">
        <f t="shared" si="199"/>
        <v>9161</v>
      </c>
      <c r="S440" s="654" t="str">
        <f t="shared" si="200"/>
        <v>_</v>
      </c>
      <c r="T440" s="656" t="str">
        <f>+VLOOKUP($L440,Data_Validation!$A:$D,1,0)</f>
        <v>9169</v>
      </c>
      <c r="U440" s="656" t="str">
        <f>+VLOOKUP($L440,Data_Validation!$A:$D,3,0)</f>
        <v>Véhicules neufs</v>
      </c>
      <c r="V440" s="656" t="str">
        <f>+VLOOKUP($L440,Data_Validation!$A:$D,4,0)</f>
        <v>Rev. Protections</v>
      </c>
      <c r="W440" s="656" t="str">
        <f>+VLOOKUP($L440,Data_Validation!$A:$E,5,0)</f>
        <v>$</v>
      </c>
      <c r="X440" s="656" t="str">
        <f>+VLOOKUP($L440,Data_Validation!$A:$F,6,0)</f>
        <v>Oui</v>
      </c>
    </row>
    <row r="441" spans="1:24" ht="15.75" customHeight="1">
      <c r="A441" s="1218" t="s">
        <v>1302</v>
      </c>
      <c r="B441" s="1218" t="s">
        <v>2772</v>
      </c>
      <c r="C441" s="1220">
        <v>-226983.77</v>
      </c>
      <c r="D441" s="1220">
        <v>-66007.429999999993</v>
      </c>
      <c r="E441" s="1220">
        <v>-292991.2</v>
      </c>
      <c r="F441" s="1218" t="s">
        <v>1285</v>
      </c>
      <c r="G441" s="1218" t="s">
        <v>1291</v>
      </c>
      <c r="H441" s="1218" t="s">
        <v>3950</v>
      </c>
      <c r="I441" s="1219"/>
      <c r="J441" s="1219"/>
      <c r="K441" s="1219"/>
      <c r="L441" s="653" t="str">
        <f t="shared" si="196"/>
        <v>9170</v>
      </c>
      <c r="M441" s="654" t="str">
        <f t="shared" si="197"/>
        <v>PROFIT PROTECTIONS - NEUFS</v>
      </c>
      <c r="N441" s="655">
        <f>+IF(OR($Q441=Parametres!$G$2,$Q441=Parametres!$G$3),I441,C441)</f>
        <v>-226983.77</v>
      </c>
      <c r="O441" s="655">
        <f>+IF(OR($Q441=Parametres!$G$2,$Q441=Parametres!$G$3),J441,D441)</f>
        <v>-66007.429999999993</v>
      </c>
      <c r="P441" s="655">
        <f>+IF(OR($Q441=Parametres!$G$2,$Q441=Parametres!$G$3),K441,E441)</f>
        <v>-292991.2</v>
      </c>
      <c r="Q441" s="654" t="str">
        <f t="shared" si="198"/>
        <v>8-Autres revenus</v>
      </c>
      <c r="R441" s="653" t="str">
        <f t="shared" si="199"/>
        <v>9161</v>
      </c>
      <c r="S441" s="654" t="str">
        <f t="shared" si="200"/>
        <v>_</v>
      </c>
      <c r="T441" s="656" t="str">
        <f>+VLOOKUP($L441,Data_Validation!$A:$D,1,0)</f>
        <v>9170</v>
      </c>
      <c r="U441" s="656" t="str">
        <f>+VLOOKUP($L441,Data_Validation!$A:$D,3,0)</f>
        <v>Véhicules neufs</v>
      </c>
      <c r="V441" s="656" t="str">
        <f>+VLOOKUP($L441,Data_Validation!$A:$D,4,0)</f>
        <v>Rev. Protections</v>
      </c>
      <c r="W441" s="656" t="str">
        <f>+VLOOKUP($L441,Data_Validation!$A:$E,5,0)</f>
        <v>$</v>
      </c>
      <c r="X441" s="656" t="str">
        <f>+VLOOKUP($L441,Data_Validation!$A:$F,6,0)</f>
        <v>Oui</v>
      </c>
    </row>
    <row r="442" spans="1:24" ht="15.75" customHeight="1">
      <c r="A442" s="1218" t="s">
        <v>1303</v>
      </c>
      <c r="B442" s="1218" t="s">
        <v>2775</v>
      </c>
      <c r="C442" s="1220">
        <v>-166683.15</v>
      </c>
      <c r="D442" s="1220">
        <v>-40133.360000000001</v>
      </c>
      <c r="E442" s="1220">
        <v>-206816.51</v>
      </c>
      <c r="F442" s="1218" t="s">
        <v>1285</v>
      </c>
      <c r="G442" s="1218" t="s">
        <v>1295</v>
      </c>
      <c r="H442" s="1218" t="s">
        <v>3950</v>
      </c>
      <c r="I442" s="1219"/>
      <c r="J442" s="1219"/>
      <c r="K442" s="1219"/>
      <c r="L442" s="653" t="str">
        <f t="shared" si="196"/>
        <v>9171</v>
      </c>
      <c r="M442" s="654" t="str">
        <f t="shared" si="197"/>
        <v>REV GARANTIE PROLONGEE USAGE</v>
      </c>
      <c r="N442" s="655">
        <f>+IF(OR($Q442=Parametres!$G$2,$Q442=Parametres!$G$3),I442,C442)</f>
        <v>-166683.15</v>
      </c>
      <c r="O442" s="655">
        <f>+IF(OR($Q442=Parametres!$G$2,$Q442=Parametres!$G$3),J442,D442)</f>
        <v>-40133.360000000001</v>
      </c>
      <c r="P442" s="655">
        <f>+IF(OR($Q442=Parametres!$G$2,$Q442=Parametres!$G$3),K442,E442)</f>
        <v>-206816.51</v>
      </c>
      <c r="Q442" s="654" t="str">
        <f t="shared" si="198"/>
        <v>8-Autres revenus</v>
      </c>
      <c r="R442" s="653" t="str">
        <f t="shared" si="199"/>
        <v>9163</v>
      </c>
      <c r="S442" s="654" t="str">
        <f t="shared" si="200"/>
        <v>_</v>
      </c>
      <c r="T442" s="656" t="str">
        <f>+VLOOKUP($L442,Data_Validation!$A:$D,1,0)</f>
        <v>9171</v>
      </c>
      <c r="U442" s="656" t="str">
        <f>+VLOOKUP($L442,Data_Validation!$A:$D,3,0)</f>
        <v>Véhicules usagés</v>
      </c>
      <c r="V442" s="656" t="str">
        <f>+VLOOKUP($L442,Data_Validation!$A:$D,4,0)</f>
        <v>Rev. Protections</v>
      </c>
      <c r="W442" s="656" t="str">
        <f>+VLOOKUP($L442,Data_Validation!$A:$E,5,0)</f>
        <v>$</v>
      </c>
      <c r="X442" s="656" t="str">
        <f>+VLOOKUP($L442,Data_Validation!$A:$F,6,0)</f>
        <v>Oui</v>
      </c>
    </row>
    <row r="443" spans="1:24" ht="15.75" customHeight="1">
      <c r="A443" s="1218" t="s">
        <v>1306</v>
      </c>
      <c r="B443" s="1218" t="s">
        <v>2778</v>
      </c>
      <c r="C443" s="1220">
        <v>-78184.570000000007</v>
      </c>
      <c r="D443" s="1220">
        <v>-13995.99</v>
      </c>
      <c r="E443" s="1220">
        <v>-92180.56</v>
      </c>
      <c r="F443" s="1218" t="s">
        <v>1285</v>
      </c>
      <c r="G443" s="1218" t="s">
        <v>1295</v>
      </c>
      <c r="H443" s="1218" t="s">
        <v>3950</v>
      </c>
      <c r="I443" s="1219"/>
      <c r="J443" s="1219"/>
      <c r="K443" s="1219"/>
      <c r="L443" s="653" t="str">
        <f t="shared" si="196"/>
        <v>9172</v>
      </c>
      <c r="M443" s="654" t="str">
        <f t="shared" si="197"/>
        <v>PROFIT PROTECTIONS - USAGES</v>
      </c>
      <c r="N443" s="655">
        <f>+IF(OR($Q443=Parametres!$G$2,$Q443=Parametres!$G$3),I443,C443)</f>
        <v>-78184.570000000007</v>
      </c>
      <c r="O443" s="655">
        <f>+IF(OR($Q443=Parametres!$G$2,$Q443=Parametres!$G$3),J443,D443)</f>
        <v>-13995.99</v>
      </c>
      <c r="P443" s="655">
        <f>+IF(OR($Q443=Parametres!$G$2,$Q443=Parametres!$G$3),K443,E443)</f>
        <v>-92180.56</v>
      </c>
      <c r="Q443" s="654" t="str">
        <f t="shared" si="198"/>
        <v>8-Autres revenus</v>
      </c>
      <c r="R443" s="653" t="str">
        <f t="shared" si="199"/>
        <v>9163</v>
      </c>
      <c r="S443" s="654" t="str">
        <f t="shared" si="200"/>
        <v>_</v>
      </c>
      <c r="T443" s="656" t="str">
        <f>+VLOOKUP($L443,Data_Validation!$A:$D,1,0)</f>
        <v>9172</v>
      </c>
      <c r="U443" s="656" t="str">
        <f>+VLOOKUP($L443,Data_Validation!$A:$D,3,0)</f>
        <v>Véhicules usagés</v>
      </c>
      <c r="V443" s="656" t="str">
        <f>+VLOOKUP($L443,Data_Validation!$A:$D,4,0)</f>
        <v>Rev. Protections</v>
      </c>
      <c r="W443" s="656" t="str">
        <f>+VLOOKUP($L443,Data_Validation!$A:$E,5,0)</f>
        <v>$</v>
      </c>
      <c r="X443" s="656" t="str">
        <f>+VLOOKUP($L443,Data_Validation!$A:$F,6,0)</f>
        <v>Oui</v>
      </c>
    </row>
    <row r="444" spans="1:24" ht="15.75" customHeight="1">
      <c r="A444" s="1218" t="s">
        <v>1309</v>
      </c>
      <c r="B444" s="1218" t="s">
        <v>2781</v>
      </c>
      <c r="C444" s="1220">
        <v>-138417</v>
      </c>
      <c r="D444" s="1220">
        <v>-39648</v>
      </c>
      <c r="E444" s="1220">
        <v>-178065</v>
      </c>
      <c r="F444" s="1218" t="s">
        <v>1285</v>
      </c>
      <c r="G444" s="1218" t="s">
        <v>1310</v>
      </c>
      <c r="H444" s="1218" t="s">
        <v>3950</v>
      </c>
      <c r="I444" s="1219"/>
      <c r="J444" s="1219"/>
      <c r="K444" s="1219"/>
      <c r="L444" s="653" t="str">
        <f t="shared" si="196"/>
        <v>9173</v>
      </c>
      <c r="M444" s="654" t="str">
        <f t="shared" si="197"/>
        <v>FRAIS ADMIN. VOLKS</v>
      </c>
      <c r="N444" s="655">
        <f>+IF(OR($Q444=Parametres!$G$2,$Q444=Parametres!$G$3),I444,C444)</f>
        <v>-138417</v>
      </c>
      <c r="O444" s="655">
        <f>+IF(OR($Q444=Parametres!$G$2,$Q444=Parametres!$G$3),J444,D444)</f>
        <v>-39648</v>
      </c>
      <c r="P444" s="655">
        <f>+IF(OR($Q444=Parametres!$G$2,$Q444=Parametres!$G$3),K444,E444)</f>
        <v>-178065</v>
      </c>
      <c r="Q444" s="654" t="str">
        <f t="shared" si="198"/>
        <v>8-Autres revenus</v>
      </c>
      <c r="R444" s="653" t="str">
        <f t="shared" si="199"/>
        <v>9191</v>
      </c>
      <c r="S444" s="654" t="str">
        <f t="shared" si="200"/>
        <v>_</v>
      </c>
      <c r="T444" s="656" t="str">
        <f>+VLOOKUP($L444,Data_Validation!$A:$D,1,0)</f>
        <v>9173</v>
      </c>
      <c r="U444" s="656" t="str">
        <f>+VLOOKUP($L444,Data_Validation!$A:$D,3,0)</f>
        <v>Véhicules neufs</v>
      </c>
      <c r="V444" s="656" t="str">
        <f>+VLOOKUP($L444,Data_Validation!$A:$D,4,0)</f>
        <v>Frais administration</v>
      </c>
      <c r="W444" s="656" t="str">
        <f>+VLOOKUP($L444,Data_Validation!$A:$E,5,0)</f>
        <v>$</v>
      </c>
      <c r="X444" s="656">
        <f>+VLOOKUP($L444,Data_Validation!$A:$F,6,0)</f>
        <v>0</v>
      </c>
    </row>
    <row r="445" spans="1:24" ht="15.75" customHeight="1">
      <c r="A445" s="1218" t="s">
        <v>1311</v>
      </c>
      <c r="B445" s="1218" t="s">
        <v>3404</v>
      </c>
      <c r="C445" s="1220">
        <v>-76023</v>
      </c>
      <c r="D445" s="1220">
        <v>-12504</v>
      </c>
      <c r="E445" s="1220">
        <v>-88527</v>
      </c>
      <c r="F445" s="1218" t="s">
        <v>1285</v>
      </c>
      <c r="G445" s="1218" t="s">
        <v>1310</v>
      </c>
      <c r="H445" s="1218" t="s">
        <v>3950</v>
      </c>
      <c r="I445" s="1219"/>
      <c r="J445" s="1219"/>
      <c r="K445" s="1219"/>
      <c r="L445" s="653" t="str">
        <f t="shared" si="196"/>
        <v>9174</v>
      </c>
      <c r="M445" s="654" t="str">
        <f t="shared" si="197"/>
        <v>FRAIS ADMIN. VW USAGE</v>
      </c>
      <c r="N445" s="655">
        <f>+IF(OR($Q445=Parametres!$G$2,$Q445=Parametres!$G$3),I445,C445)</f>
        <v>-76023</v>
      </c>
      <c r="O445" s="655">
        <f>+IF(OR($Q445=Parametres!$G$2,$Q445=Parametres!$G$3),J445,D445)</f>
        <v>-12504</v>
      </c>
      <c r="P445" s="655">
        <f>+IF(OR($Q445=Parametres!$G$2,$Q445=Parametres!$G$3),K445,E445)</f>
        <v>-88527</v>
      </c>
      <c r="Q445" s="654" t="str">
        <f t="shared" si="198"/>
        <v>8-Autres revenus</v>
      </c>
      <c r="R445" s="653" t="str">
        <f t="shared" si="199"/>
        <v>9191</v>
      </c>
      <c r="S445" s="654" t="str">
        <f t="shared" si="200"/>
        <v>_</v>
      </c>
      <c r="T445" s="656" t="str">
        <f>+VLOOKUP($L445,Data_Validation!$A:$D,1,0)</f>
        <v>9174</v>
      </c>
      <c r="U445" s="656" t="str">
        <f>+VLOOKUP($L445,Data_Validation!$A:$D,3,0)</f>
        <v>Véhicules usagés</v>
      </c>
      <c r="V445" s="656" t="str">
        <f>+VLOOKUP($L445,Data_Validation!$A:$D,4,0)</f>
        <v>Frais administration</v>
      </c>
      <c r="W445" s="656" t="str">
        <f>+VLOOKUP($L445,Data_Validation!$A:$E,5,0)</f>
        <v>$</v>
      </c>
      <c r="X445" s="656">
        <f>+VLOOKUP($L445,Data_Validation!$A:$F,6,0)</f>
        <v>0</v>
      </c>
    </row>
    <row r="446" spans="1:24" ht="15.75" customHeight="1">
      <c r="A446" s="1218" t="s">
        <v>1312</v>
      </c>
      <c r="B446" s="1218" t="s">
        <v>1310</v>
      </c>
      <c r="C446" s="1220">
        <v>-102343.55</v>
      </c>
      <c r="D446" s="1220">
        <v>-67.010000000000005</v>
      </c>
      <c r="E446" s="1220">
        <v>-102410.56</v>
      </c>
      <c r="F446" s="1218" t="s">
        <v>1285</v>
      </c>
      <c r="G446" s="1218" t="s">
        <v>1310</v>
      </c>
      <c r="H446" s="1218" t="s">
        <v>3950</v>
      </c>
      <c r="I446" s="1219"/>
      <c r="J446" s="1219"/>
      <c r="K446" s="1219"/>
      <c r="L446" s="653" t="str">
        <f t="shared" si="196"/>
        <v>9191</v>
      </c>
      <c r="M446" s="654" t="str">
        <f t="shared" si="197"/>
        <v>REVENUS DIVERS</v>
      </c>
      <c r="N446" s="655">
        <f>+IF(OR($Q446=Parametres!$G$2,$Q446=Parametres!$G$3),I446,C446)</f>
        <v>-102343.55</v>
      </c>
      <c r="O446" s="655">
        <f>+IF(OR($Q446=Parametres!$G$2,$Q446=Parametres!$G$3),J446,D446)</f>
        <v>-67.010000000000005</v>
      </c>
      <c r="P446" s="655">
        <f>+IF(OR($Q446=Parametres!$G$2,$Q446=Parametres!$G$3),K446,E446)</f>
        <v>-102410.56</v>
      </c>
      <c r="Q446" s="654" t="str">
        <f t="shared" si="198"/>
        <v>8-Autres revenus</v>
      </c>
      <c r="R446" s="653" t="str">
        <f t="shared" si="199"/>
        <v>9191</v>
      </c>
      <c r="S446" s="654" t="str">
        <f t="shared" si="200"/>
        <v>_</v>
      </c>
      <c r="T446" s="656" t="str">
        <f>+VLOOKUP($L446,Data_Validation!$A:$D,1,0)</f>
        <v>9191</v>
      </c>
      <c r="U446" s="656" t="str">
        <f>+VLOOKUP($L446,Data_Validation!$A:$D,3,0)</f>
        <v>TOTAL  DES  REVENUS  ET  DÉPENSES</v>
      </c>
      <c r="V446" s="656" t="str">
        <f>+VLOOKUP($L446,Data_Validation!$A:$D,4,0)</f>
        <v>Revenus autres</v>
      </c>
      <c r="W446" s="656" t="str">
        <f>+VLOOKUP($L446,Data_Validation!$A:$E,5,0)</f>
        <v>$</v>
      </c>
      <c r="X446" s="656">
        <f>+VLOOKUP($L446,Data_Validation!$A:$F,6,0)</f>
        <v>0</v>
      </c>
    </row>
    <row r="447" spans="1:24" ht="15.75" customHeight="1">
      <c r="A447" s="1218" t="s">
        <v>3891</v>
      </c>
      <c r="B447" s="1218" t="s">
        <v>3892</v>
      </c>
      <c r="C447" s="1220">
        <v>-6474</v>
      </c>
      <c r="D447" s="1220">
        <v>-1079</v>
      </c>
      <c r="E447" s="1220">
        <v>-7553</v>
      </c>
      <c r="F447" s="1218" t="s">
        <v>1314</v>
      </c>
      <c r="G447" s="1218" t="s">
        <v>3914</v>
      </c>
      <c r="H447" s="1218" t="s">
        <v>3950</v>
      </c>
      <c r="I447" s="1219"/>
      <c r="J447" s="1219"/>
      <c r="K447" s="1219"/>
      <c r="L447" s="653" t="str">
        <f t="shared" si="196"/>
        <v>9405</v>
      </c>
      <c r="M447" s="654" t="str">
        <f t="shared" si="197"/>
        <v>Revenus d'interets floor plan</v>
      </c>
      <c r="N447" s="655">
        <f>+IF(OR($Q447=Parametres!$G$2,$Q447=Parametres!$G$3),I447,C447)</f>
        <v>-6474</v>
      </c>
      <c r="O447" s="655">
        <f>+IF(OR($Q447=Parametres!$G$2,$Q447=Parametres!$G$3),J447,D447)</f>
        <v>-1079</v>
      </c>
      <c r="P447" s="655">
        <f>+IF(OR($Q447=Parametres!$G$2,$Q447=Parametres!$G$3),K447,E447)</f>
        <v>-7553</v>
      </c>
      <c r="Q447" s="654" t="str">
        <f t="shared" si="198"/>
        <v>9-Autres déductions</v>
      </c>
      <c r="R447" s="653" t="str">
        <f t="shared" si="199"/>
        <v>940</v>
      </c>
      <c r="S447" s="654" t="str">
        <f t="shared" si="200"/>
        <v>_</v>
      </c>
      <c r="T447" s="656" t="str">
        <f>+VLOOKUP($L447,Data_Validation!$A:$D,1,0)</f>
        <v>9405</v>
      </c>
      <c r="U447" s="656" t="str">
        <f>+VLOOKUP($L447,Data_Validation!$A:$D,3,0)</f>
        <v>Autres</v>
      </c>
      <c r="V447" s="656" t="str">
        <f>+VLOOKUP($L447,Data_Validation!$A:$D,4,0)</f>
        <v>Revenus d'intérêts floor plan</v>
      </c>
      <c r="W447" s="656" t="str">
        <f>+VLOOKUP($L447,Data_Validation!$A:$E,5,0)</f>
        <v>$</v>
      </c>
      <c r="X447" s="656">
        <f>+VLOOKUP($L447,Data_Validation!$A:$F,6,0)</f>
        <v>0</v>
      </c>
    </row>
    <row r="448" spans="1:24" ht="15.75" customHeight="1">
      <c r="A448" s="1218" t="s">
        <v>1299</v>
      </c>
      <c r="B448" s="1218" t="s">
        <v>1300</v>
      </c>
      <c r="C448" s="1219"/>
      <c r="D448" s="1219"/>
      <c r="E448" s="1219"/>
      <c r="F448" s="1218" t="s">
        <v>7</v>
      </c>
      <c r="G448" s="1218" t="s">
        <v>1295</v>
      </c>
      <c r="H448" s="1218" t="s">
        <v>3950</v>
      </c>
      <c r="I448" s="1220">
        <v>-13</v>
      </c>
      <c r="J448" s="1220">
        <v>-2</v>
      </c>
      <c r="K448" s="1220">
        <v>-15</v>
      </c>
      <c r="L448" s="653" t="str">
        <f t="shared" si="196"/>
        <v>9167@</v>
      </c>
      <c r="M448" s="654" t="str">
        <f t="shared" si="197"/>
        <v>ASSURANCE VIE USAGE</v>
      </c>
      <c r="N448" s="655">
        <f>+IF(OR($Q448=Parametres!$G$2,$Q448=Parametres!$G$3),I448,C448)</f>
        <v>-13</v>
      </c>
      <c r="O448" s="655">
        <f>+IF(OR($Q448=Parametres!$G$2,$Q448=Parametres!$G$3),J448,D448)</f>
        <v>-2</v>
      </c>
      <c r="P448" s="655">
        <f>+IF(OR($Q448=Parametres!$G$2,$Q448=Parametres!$G$3),K448,E448)</f>
        <v>-15</v>
      </c>
      <c r="Q448" s="654" t="str">
        <f t="shared" si="198"/>
        <v>10-Compte compteur</v>
      </c>
      <c r="R448" s="653" t="str">
        <f t="shared" si="199"/>
        <v>9163</v>
      </c>
      <c r="S448" s="654" t="str">
        <f t="shared" si="200"/>
        <v>_</v>
      </c>
      <c r="T448" s="656" t="str">
        <f>+VLOOKUP($L448,Data_Validation!$A:$D,1,0)</f>
        <v>9167@</v>
      </c>
      <c r="U448" s="656" t="str">
        <f>+VLOOKUP($L448,Data_Validation!$A:$D,3,0)</f>
        <v>Véhicules usagés</v>
      </c>
      <c r="V448" s="656">
        <f>+VLOOKUP($L448,Data_Validation!$A:$D,4,0)</f>
        <v>0</v>
      </c>
      <c r="W448" s="656" t="str">
        <f>+VLOOKUP($L448,Data_Validation!$A:$E,5,0)</f>
        <v>NB</v>
      </c>
      <c r="X448" s="656">
        <f>+VLOOKUP($L448,Data_Validation!$A:$F,6,0)</f>
        <v>0</v>
      </c>
    </row>
    <row r="449" spans="1:24" ht="15.75" customHeight="1">
      <c r="A449" s="1218" t="s">
        <v>3345</v>
      </c>
      <c r="B449" s="1218" t="s">
        <v>3346</v>
      </c>
      <c r="C449" s="1219"/>
      <c r="D449" s="1219"/>
      <c r="E449" s="1219"/>
      <c r="F449" s="1218" t="s">
        <v>7</v>
      </c>
      <c r="G449" s="1218" t="s">
        <v>1291</v>
      </c>
      <c r="H449" s="1218" t="s">
        <v>3950</v>
      </c>
      <c r="I449" s="1220">
        <v>-46</v>
      </c>
      <c r="J449" s="1220">
        <v>-11</v>
      </c>
      <c r="K449" s="1220">
        <v>-57</v>
      </c>
      <c r="L449" s="653" t="str">
        <f t="shared" si="196"/>
        <v>9169@</v>
      </c>
      <c r="M449" s="654" t="str">
        <f t="shared" si="197"/>
        <v>VENTES PEINTURE</v>
      </c>
      <c r="N449" s="655">
        <f>+IF(OR($Q449=Parametres!$G$2,$Q449=Parametres!$G$3),I449,C449)</f>
        <v>-46</v>
      </c>
      <c r="O449" s="655">
        <f>+IF(OR($Q449=Parametres!$G$2,$Q449=Parametres!$G$3),J449,D449)</f>
        <v>-11</v>
      </c>
      <c r="P449" s="655">
        <f>+IF(OR($Q449=Parametres!$G$2,$Q449=Parametres!$G$3),K449,E449)</f>
        <v>-57</v>
      </c>
      <c r="Q449" s="654" t="str">
        <f t="shared" si="198"/>
        <v>10-Compte compteur</v>
      </c>
      <c r="R449" s="653" t="str">
        <f t="shared" si="199"/>
        <v>9161</v>
      </c>
      <c r="S449" s="654" t="str">
        <f t="shared" si="200"/>
        <v>_</v>
      </c>
      <c r="T449" s="656" t="str">
        <f>+VLOOKUP($L449,Data_Validation!$A:$D,1,0)</f>
        <v>9169@</v>
      </c>
      <c r="U449" s="656">
        <f>+VLOOKUP($L449,Data_Validation!$A:$D,3,0)</f>
        <v>0</v>
      </c>
      <c r="V449" s="656">
        <f>+VLOOKUP($L449,Data_Validation!$A:$D,4,0)</f>
        <v>0</v>
      </c>
      <c r="W449" s="656" t="str">
        <f>+VLOOKUP($L449,Data_Validation!$A:$E,5,0)</f>
        <v>NB</v>
      </c>
      <c r="X449" s="656">
        <f>+VLOOKUP($L449,Data_Validation!$A:$F,6,0)</f>
        <v>0</v>
      </c>
    </row>
    <row r="450" spans="1:24" ht="15.75" customHeight="1">
      <c r="A450" s="1218" t="s">
        <v>1304</v>
      </c>
      <c r="B450" s="1218" t="s">
        <v>1305</v>
      </c>
      <c r="C450" s="1219"/>
      <c r="D450" s="1219"/>
      <c r="E450" s="1219"/>
      <c r="F450" s="1218" t="s">
        <v>7</v>
      </c>
      <c r="G450" s="1218" t="s">
        <v>1295</v>
      </c>
      <c r="H450" s="1218" t="s">
        <v>3950</v>
      </c>
      <c r="I450" s="1220">
        <v>-99</v>
      </c>
      <c r="J450" s="1220">
        <v>-23</v>
      </c>
      <c r="K450" s="1220">
        <v>-122</v>
      </c>
      <c r="L450" s="653" t="str">
        <f t="shared" si="196"/>
        <v>9171@</v>
      </c>
      <c r="M450" s="654" t="str">
        <f t="shared" si="197"/>
        <v>VENTE CHIMIQUE USAGE</v>
      </c>
      <c r="N450" s="655">
        <f>+IF(OR($Q450=Parametres!$G$2,$Q450=Parametres!$G$3),I450,C450)</f>
        <v>-99</v>
      </c>
      <c r="O450" s="655">
        <f>+IF(OR($Q450=Parametres!$G$2,$Q450=Parametres!$G$3),J450,D450)</f>
        <v>-23</v>
      </c>
      <c r="P450" s="655">
        <f>+IF(OR($Q450=Parametres!$G$2,$Q450=Parametres!$G$3),K450,E450)</f>
        <v>-122</v>
      </c>
      <c r="Q450" s="654" t="str">
        <f t="shared" si="198"/>
        <v>10-Compte compteur</v>
      </c>
      <c r="R450" s="653" t="str">
        <f t="shared" si="199"/>
        <v>9163</v>
      </c>
      <c r="S450" s="654" t="str">
        <f t="shared" si="200"/>
        <v>_</v>
      </c>
      <c r="T450" s="656" t="str">
        <f>+VLOOKUP($L450,Data_Validation!$A:$D,1,0)</f>
        <v>9171@</v>
      </c>
      <c r="U450" s="656" t="str">
        <f>+VLOOKUP($L450,Data_Validation!$A:$D,3,0)</f>
        <v>Véhicules usagés</v>
      </c>
      <c r="V450" s="656">
        <f>+VLOOKUP($L450,Data_Validation!$A:$D,4,0)</f>
        <v>0</v>
      </c>
      <c r="W450" s="656" t="str">
        <f>+VLOOKUP($L450,Data_Validation!$A:$E,5,0)</f>
        <v>NB</v>
      </c>
      <c r="X450" s="656">
        <f>+VLOOKUP($L450,Data_Validation!$A:$F,6,0)</f>
        <v>0</v>
      </c>
    </row>
    <row r="451" spans="1:24" ht="15.75" customHeight="1">
      <c r="A451" s="1218" t="s">
        <v>842</v>
      </c>
      <c r="B451" s="1218" t="s">
        <v>843</v>
      </c>
      <c r="C451" s="1219"/>
      <c r="D451" s="1219"/>
      <c r="E451" s="1219"/>
      <c r="F451" s="1218" t="s">
        <v>7</v>
      </c>
      <c r="G451" s="1218" t="s">
        <v>841</v>
      </c>
      <c r="H451" s="1218" t="s">
        <v>3950</v>
      </c>
      <c r="I451" s="1220">
        <v>76</v>
      </c>
      <c r="J451" s="1220">
        <v>21</v>
      </c>
      <c r="K451" s="1220">
        <v>97</v>
      </c>
      <c r="L451" s="653" t="str">
        <f t="shared" si="196"/>
        <v>1402@</v>
      </c>
      <c r="M451" s="654" t="str">
        <f t="shared" si="197"/>
        <v># DE INVENTAIRE VEH.NEUFS VW</v>
      </c>
      <c r="N451" s="655">
        <f>+IF(OR($Q451=Parametres!$G$2,$Q451=Parametres!$G$3),I451,C451)</f>
        <v>76</v>
      </c>
      <c r="O451" s="655">
        <f>+IF(OR($Q451=Parametres!$G$2,$Q451=Parametres!$G$3),J451,D451)</f>
        <v>21</v>
      </c>
      <c r="P451" s="655">
        <f>+IF(OR($Q451=Parametres!$G$2,$Q451=Parametres!$G$3),K451,E451)</f>
        <v>97</v>
      </c>
      <c r="Q451" s="654" t="str">
        <f t="shared" si="198"/>
        <v>10-Compte compteur</v>
      </c>
      <c r="R451" s="653" t="str">
        <f t="shared" si="199"/>
        <v>1402</v>
      </c>
      <c r="S451" s="654" t="str">
        <f t="shared" si="200"/>
        <v>_</v>
      </c>
      <c r="T451" s="656" t="str">
        <f>+VLOOKUP($L451,Data_Validation!$A:$D,1,0)</f>
        <v>1402@</v>
      </c>
      <c r="U451" s="656" t="str">
        <f>+VLOOKUP($L451,Data_Validation!$A:$D,3,0)</f>
        <v>Bilan</v>
      </c>
      <c r="V451" s="656">
        <f>+VLOOKUP($L451,Data_Validation!$A:$D,4,0)</f>
        <v>0</v>
      </c>
      <c r="W451" s="656" t="str">
        <f>+VLOOKUP($L451,Data_Validation!$A:$E,5,0)</f>
        <v>NB</v>
      </c>
      <c r="X451" s="656">
        <f>+VLOOKUP($L451,Data_Validation!$A:$F,6,0)</f>
        <v>0</v>
      </c>
    </row>
    <row r="452" spans="1:24" ht="15.75" customHeight="1">
      <c r="A452" s="1218" t="s">
        <v>849</v>
      </c>
      <c r="B452" s="1218" t="s">
        <v>850</v>
      </c>
      <c r="C452" s="1219"/>
      <c r="D452" s="1219"/>
      <c r="E452" s="1219"/>
      <c r="F452" s="1218" t="s">
        <v>7</v>
      </c>
      <c r="G452" s="1218" t="s">
        <v>848</v>
      </c>
      <c r="H452" s="1218" t="s">
        <v>3950</v>
      </c>
      <c r="I452" s="1220">
        <v>71</v>
      </c>
      <c r="J452" s="1220">
        <v>14</v>
      </c>
      <c r="K452" s="1220">
        <v>85</v>
      </c>
      <c r="L452" s="653" t="str">
        <f t="shared" si="196"/>
        <v>1416@</v>
      </c>
      <c r="M452" s="654" t="str">
        <f t="shared" si="197"/>
        <v># DE INV. VEH. USAGE VW</v>
      </c>
      <c r="N452" s="655">
        <f>+IF(OR($Q452=Parametres!$G$2,$Q452=Parametres!$G$3),I452,C452)</f>
        <v>71</v>
      </c>
      <c r="O452" s="655">
        <f>+IF(OR($Q452=Parametres!$G$2,$Q452=Parametres!$G$3),J452,D452)</f>
        <v>14</v>
      </c>
      <c r="P452" s="655">
        <f>+IF(OR($Q452=Parametres!$G$2,$Q452=Parametres!$G$3),K452,E452)</f>
        <v>85</v>
      </c>
      <c r="Q452" s="654" t="str">
        <f t="shared" si="198"/>
        <v>10-Compte compteur</v>
      </c>
      <c r="R452" s="653" t="str">
        <f t="shared" si="199"/>
        <v>1416</v>
      </c>
      <c r="S452" s="654" t="str">
        <f t="shared" si="200"/>
        <v>_</v>
      </c>
      <c r="T452" s="656" t="str">
        <f>+VLOOKUP($L452,Data_Validation!$A:$D,1,0)</f>
        <v>1416@</v>
      </c>
      <c r="U452" s="656" t="str">
        <f>+VLOOKUP($L452,Data_Validation!$A:$D,3,0)</f>
        <v>Bilan</v>
      </c>
      <c r="V452" s="656">
        <f>+VLOOKUP($L452,Data_Validation!$A:$D,4,0)</f>
        <v>0</v>
      </c>
      <c r="W452" s="656" t="str">
        <f>+VLOOKUP($L452,Data_Validation!$A:$E,5,0)</f>
        <v>NB</v>
      </c>
      <c r="X452" s="656">
        <f>+VLOOKUP($L452,Data_Validation!$A:$F,6,0)</f>
        <v>0</v>
      </c>
    </row>
    <row r="453" spans="1:24" ht="15.75" customHeight="1">
      <c r="A453" s="1218" t="s">
        <v>965</v>
      </c>
      <c r="B453" s="1218" t="s">
        <v>966</v>
      </c>
      <c r="C453" s="1219"/>
      <c r="D453" s="1219"/>
      <c r="E453" s="1219"/>
      <c r="F453" s="1218" t="s">
        <v>7</v>
      </c>
      <c r="G453" s="1218" t="s">
        <v>964</v>
      </c>
      <c r="H453" s="1218" t="s">
        <v>3950</v>
      </c>
      <c r="I453" s="1220">
        <v>-88</v>
      </c>
      <c r="J453" s="1220">
        <v>-23</v>
      </c>
      <c r="K453" s="1220">
        <v>-111</v>
      </c>
      <c r="L453" s="653" t="str">
        <f t="shared" si="196"/>
        <v>4100@</v>
      </c>
      <c r="M453" s="654" t="str">
        <f t="shared" si="197"/>
        <v>RESERVE</v>
      </c>
      <c r="N453" s="655">
        <f>+IF(OR($Q453=Parametres!$G$2,$Q453=Parametres!$G$3),I453,C453)</f>
        <v>-88</v>
      </c>
      <c r="O453" s="655">
        <f>+IF(OR($Q453=Parametres!$G$2,$Q453=Parametres!$G$3),J453,D453)</f>
        <v>-23</v>
      </c>
      <c r="P453" s="655">
        <f>+IF(OR($Q453=Parametres!$G$2,$Q453=Parametres!$G$3),K453,E453)</f>
        <v>-111</v>
      </c>
      <c r="Q453" s="654" t="str">
        <f t="shared" si="198"/>
        <v>10-Compte compteur</v>
      </c>
      <c r="R453" s="653" t="str">
        <f t="shared" si="199"/>
        <v>4100</v>
      </c>
      <c r="S453" s="654" t="str">
        <f t="shared" si="200"/>
        <v>_</v>
      </c>
      <c r="T453" s="656" t="str">
        <f>+VLOOKUP($L453,Data_Validation!$A:$D,1,0)</f>
        <v>4100@</v>
      </c>
      <c r="U453" s="656" t="str">
        <f>+VLOOKUP($L453,Data_Validation!$A:$D,3,0)</f>
        <v>Véhicules neufs</v>
      </c>
      <c r="V453" s="656" t="str">
        <f>+VLOOKUP($L453,Data_Validation!$A:$D,4,0)</f>
        <v>Rachat bail</v>
      </c>
      <c r="W453" s="656" t="str">
        <f>+VLOOKUP($L453,Data_Validation!$A:$E,5,0)</f>
        <v>NB</v>
      </c>
      <c r="X453" s="656">
        <f>+VLOOKUP($L453,Data_Validation!$A:$F,6,0)</f>
        <v>0</v>
      </c>
    </row>
    <row r="454" spans="1:24" ht="15.75" customHeight="1">
      <c r="A454" s="1218" t="s">
        <v>969</v>
      </c>
      <c r="B454" s="1218" t="s">
        <v>970</v>
      </c>
      <c r="C454" s="1219"/>
      <c r="D454" s="1219"/>
      <c r="E454" s="1219"/>
      <c r="F454" s="1218" t="s">
        <v>7</v>
      </c>
      <c r="G454" s="1218" t="s">
        <v>968</v>
      </c>
      <c r="H454" s="1218" t="s">
        <v>3950</v>
      </c>
      <c r="I454" s="1220">
        <v>-16</v>
      </c>
      <c r="J454" s="1220">
        <v>-3</v>
      </c>
      <c r="K454" s="1220">
        <v>-19</v>
      </c>
      <c r="L454" s="653" t="str">
        <f t="shared" si="196"/>
        <v>4109@</v>
      </c>
      <c r="M454" s="654" t="str">
        <f t="shared" si="197"/>
        <v># DE VENTE - GOLF R</v>
      </c>
      <c r="N454" s="655">
        <f>+IF(OR($Q454=Parametres!$G$2,$Q454=Parametres!$G$3),I454,C454)</f>
        <v>-16</v>
      </c>
      <c r="O454" s="655">
        <f>+IF(OR($Q454=Parametres!$G$2,$Q454=Parametres!$G$3),J454,D454)</f>
        <v>-3</v>
      </c>
      <c r="P454" s="655">
        <f>+IF(OR($Q454=Parametres!$G$2,$Q454=Parametres!$G$3),K454,E454)</f>
        <v>-19</v>
      </c>
      <c r="Q454" s="654" t="str">
        <f t="shared" si="198"/>
        <v>10-Compte compteur</v>
      </c>
      <c r="R454" s="653" t="str">
        <f t="shared" si="199"/>
        <v>4109</v>
      </c>
      <c r="S454" s="654" t="str">
        <f t="shared" si="200"/>
        <v>_</v>
      </c>
      <c r="T454" s="656" t="str">
        <f>+VLOOKUP($L454,Data_Validation!$A:$D,1,0)</f>
        <v>4109@</v>
      </c>
      <c r="U454" s="656" t="str">
        <f>+VLOOKUP($L454,Data_Validation!$A:$D,3,0)</f>
        <v>Véhicules neufs</v>
      </c>
      <c r="V454" s="656" t="str">
        <f>+VLOOKUP($L454,Data_Validation!$A:$D,4,0)</f>
        <v>Autos détail</v>
      </c>
      <c r="W454" s="656" t="str">
        <f>+VLOOKUP($L454,Data_Validation!$A:$E,5,0)</f>
        <v>NB</v>
      </c>
      <c r="X454" s="656">
        <f>+VLOOKUP($L454,Data_Validation!$A:$F,6,0)</f>
        <v>0</v>
      </c>
    </row>
    <row r="455" spans="1:24" ht="15.75" customHeight="1">
      <c r="A455" s="1218" t="s">
        <v>971</v>
      </c>
      <c r="B455" s="1218" t="s">
        <v>973</v>
      </c>
      <c r="C455" s="1219"/>
      <c r="D455" s="1219"/>
      <c r="E455" s="1219"/>
      <c r="F455" s="1218" t="s">
        <v>7</v>
      </c>
      <c r="G455" s="1218" t="s">
        <v>972</v>
      </c>
      <c r="H455" s="1218" t="s">
        <v>3950</v>
      </c>
      <c r="I455" s="1220">
        <v>-30</v>
      </c>
      <c r="J455" s="1220">
        <v>-3</v>
      </c>
      <c r="K455" s="1220">
        <v>-33</v>
      </c>
      <c r="L455" s="653" t="str">
        <f t="shared" si="196"/>
        <v>4111@</v>
      </c>
      <c r="M455" s="654" t="str">
        <f t="shared" si="197"/>
        <v>JETTA/ JETTA GLI</v>
      </c>
      <c r="N455" s="655">
        <f>+IF(OR($Q455=Parametres!$G$2,$Q455=Parametres!$G$3),I455,C455)</f>
        <v>-30</v>
      </c>
      <c r="O455" s="655">
        <f>+IF(OR($Q455=Parametres!$G$2,$Q455=Parametres!$G$3),J455,D455)</f>
        <v>-3</v>
      </c>
      <c r="P455" s="655">
        <f>+IF(OR($Q455=Parametres!$G$2,$Q455=Parametres!$G$3),K455,E455)</f>
        <v>-33</v>
      </c>
      <c r="Q455" s="654" t="str">
        <f t="shared" si="198"/>
        <v>10-Compte compteur</v>
      </c>
      <c r="R455" s="653" t="str">
        <f t="shared" si="199"/>
        <v>4111</v>
      </c>
      <c r="S455" s="654" t="str">
        <f t="shared" si="200"/>
        <v>_</v>
      </c>
      <c r="T455" s="656" t="str">
        <f>+VLOOKUP($L455,Data_Validation!$A:$D,1,0)</f>
        <v>4111@</v>
      </c>
      <c r="U455" s="656" t="str">
        <f>+VLOOKUP($L455,Data_Validation!$A:$D,3,0)</f>
        <v>Véhicules neufs</v>
      </c>
      <c r="V455" s="656" t="str">
        <f>+VLOOKUP($L455,Data_Validation!$A:$D,4,0)</f>
        <v>Autos détail</v>
      </c>
      <c r="W455" s="656" t="str">
        <f>+VLOOKUP($L455,Data_Validation!$A:$E,5,0)</f>
        <v>NB</v>
      </c>
      <c r="X455" s="656">
        <f>+VLOOKUP($L455,Data_Validation!$A:$F,6,0)</f>
        <v>0</v>
      </c>
    </row>
    <row r="456" spans="1:24" ht="15.75" customHeight="1">
      <c r="A456" s="1218" t="s">
        <v>976</v>
      </c>
      <c r="B456" s="1218" t="s">
        <v>977</v>
      </c>
      <c r="C456" s="1219"/>
      <c r="D456" s="1219"/>
      <c r="E456" s="1219"/>
      <c r="F456" s="1218" t="s">
        <v>7</v>
      </c>
      <c r="G456" s="1218" t="s">
        <v>978</v>
      </c>
      <c r="H456" s="1218" t="s">
        <v>3950</v>
      </c>
      <c r="I456" s="1220">
        <v>-90</v>
      </c>
      <c r="J456" s="1220">
        <v>-32</v>
      </c>
      <c r="K456" s="1220">
        <v>-122</v>
      </c>
      <c r="L456" s="653" t="str">
        <f t="shared" si="196"/>
        <v>4118@</v>
      </c>
      <c r="M456" s="654" t="str">
        <f t="shared" si="197"/>
        <v>TAOS</v>
      </c>
      <c r="N456" s="655">
        <f>+IF(OR($Q456=Parametres!$G$2,$Q456=Parametres!$G$3),I456,C456)</f>
        <v>-90</v>
      </c>
      <c r="O456" s="655">
        <f>+IF(OR($Q456=Parametres!$G$2,$Q456=Parametres!$G$3),J456,D456)</f>
        <v>-32</v>
      </c>
      <c r="P456" s="655">
        <f>+IF(OR($Q456=Parametres!$G$2,$Q456=Parametres!$G$3),K456,E456)</f>
        <v>-122</v>
      </c>
      <c r="Q456" s="654" t="str">
        <f t="shared" si="198"/>
        <v>10-Compte compteur</v>
      </c>
      <c r="R456" s="653" t="str">
        <f t="shared" si="199"/>
        <v>411</v>
      </c>
      <c r="S456" s="654" t="str">
        <f t="shared" si="200"/>
        <v>_</v>
      </c>
      <c r="T456" s="656" t="str">
        <f>+VLOOKUP($L456,Data_Validation!$A:$D,1,0)</f>
        <v>4118@</v>
      </c>
      <c r="U456" s="656" t="str">
        <f>+VLOOKUP($L456,Data_Validation!$A:$D,3,0)</f>
        <v>Véhicules neufs</v>
      </c>
      <c r="V456" s="656" t="str">
        <f>+VLOOKUP($L456,Data_Validation!$A:$D,4,0)</f>
        <v>Camions détail</v>
      </c>
      <c r="W456" s="656" t="str">
        <f>+VLOOKUP($L456,Data_Validation!$A:$E,5,0)</f>
        <v>NB</v>
      </c>
      <c r="X456" s="656">
        <f>+VLOOKUP($L456,Data_Validation!$A:$F,6,0)</f>
        <v>0</v>
      </c>
    </row>
    <row r="457" spans="1:24" ht="15.75" customHeight="1">
      <c r="A457" s="1218" t="s">
        <v>981</v>
      </c>
      <c r="B457" s="1218" t="s">
        <v>982</v>
      </c>
      <c r="C457" s="1219"/>
      <c r="D457" s="1219"/>
      <c r="E457" s="1219"/>
      <c r="F457" s="1218" t="s">
        <v>7</v>
      </c>
      <c r="G457" s="1218" t="s">
        <v>980</v>
      </c>
      <c r="H457" s="1218" t="s">
        <v>3950</v>
      </c>
      <c r="I457" s="1220">
        <v>-27</v>
      </c>
      <c r="J457" s="1220">
        <v>-1</v>
      </c>
      <c r="K457" s="1220">
        <v>-28</v>
      </c>
      <c r="L457" s="653" t="str">
        <f t="shared" si="196"/>
        <v>4119@</v>
      </c>
      <c r="M457" s="654" t="str">
        <f t="shared" si="197"/>
        <v># DE VTE - ATLAS</v>
      </c>
      <c r="N457" s="655">
        <f>+IF(OR($Q457=Parametres!$G$2,$Q457=Parametres!$G$3),I457,C457)</f>
        <v>-27</v>
      </c>
      <c r="O457" s="655">
        <f>+IF(OR($Q457=Parametres!$G$2,$Q457=Parametres!$G$3),J457,D457)</f>
        <v>-1</v>
      </c>
      <c r="P457" s="655">
        <f>+IF(OR($Q457=Parametres!$G$2,$Q457=Parametres!$G$3),K457,E457)</f>
        <v>-28</v>
      </c>
      <c r="Q457" s="654" t="str">
        <f t="shared" si="198"/>
        <v>10-Compte compteur</v>
      </c>
      <c r="R457" s="653" t="str">
        <f t="shared" si="199"/>
        <v>4119</v>
      </c>
      <c r="S457" s="654" t="str">
        <f t="shared" si="200"/>
        <v>_</v>
      </c>
      <c r="T457" s="656" t="str">
        <f>+VLOOKUP($L457,Data_Validation!$A:$D,1,0)</f>
        <v>4119@</v>
      </c>
      <c r="U457" s="656" t="str">
        <f>+VLOOKUP($L457,Data_Validation!$A:$D,3,0)</f>
        <v>Véhicules neufs</v>
      </c>
      <c r="V457" s="656" t="str">
        <f>+VLOOKUP($L457,Data_Validation!$A:$D,4,0)</f>
        <v>Camions détail</v>
      </c>
      <c r="W457" s="656" t="str">
        <f>+VLOOKUP($L457,Data_Validation!$A:$E,5,0)</f>
        <v>NB</v>
      </c>
      <c r="X457" s="656">
        <f>+VLOOKUP($L457,Data_Validation!$A:$F,6,0)</f>
        <v>0</v>
      </c>
    </row>
    <row r="458" spans="1:24" ht="15.75" customHeight="1">
      <c r="A458" s="1218" t="s">
        <v>984</v>
      </c>
      <c r="B458" s="1218" t="s">
        <v>985</v>
      </c>
      <c r="C458" s="1219"/>
      <c r="D458" s="1219"/>
      <c r="E458" s="1219"/>
      <c r="F458" s="1218" t="s">
        <v>7</v>
      </c>
      <c r="G458" s="1218" t="s">
        <v>3349</v>
      </c>
      <c r="H458" s="1218" t="s">
        <v>3950</v>
      </c>
      <c r="I458" s="1220">
        <v>-12</v>
      </c>
      <c r="J458" s="1220">
        <v>-1</v>
      </c>
      <c r="K458" s="1220">
        <v>-13</v>
      </c>
      <c r="L458" s="653" t="str">
        <f t="shared" si="196"/>
        <v>4121@</v>
      </c>
      <c r="M458" s="654" t="str">
        <f t="shared" si="197"/>
        <v># DE VTE - ATLAS CROSS SPORT</v>
      </c>
      <c r="N458" s="655">
        <f>+IF(OR($Q458=Parametres!$G$2,$Q458=Parametres!$G$3),I458,C458)</f>
        <v>-12</v>
      </c>
      <c r="O458" s="655">
        <f>+IF(OR($Q458=Parametres!$G$2,$Q458=Parametres!$G$3),J458,D458)</f>
        <v>-1</v>
      </c>
      <c r="P458" s="655">
        <f>+IF(OR($Q458=Parametres!$G$2,$Q458=Parametres!$G$3),K458,E458)</f>
        <v>-13</v>
      </c>
      <c r="Q458" s="654" t="str">
        <f t="shared" si="198"/>
        <v>10-Compte compteur</v>
      </c>
      <c r="R458" s="653" t="str">
        <f t="shared" si="199"/>
        <v>4121</v>
      </c>
      <c r="S458" s="654" t="str">
        <f t="shared" si="200"/>
        <v>_</v>
      </c>
      <c r="T458" s="656" t="str">
        <f>+VLOOKUP($L458,Data_Validation!$A:$D,1,0)</f>
        <v>4121@</v>
      </c>
      <c r="U458" s="656" t="str">
        <f>+VLOOKUP($L458,Data_Validation!$A:$D,3,0)</f>
        <v>Véhicules neufs</v>
      </c>
      <c r="V458" s="656" t="str">
        <f>+VLOOKUP($L458,Data_Validation!$A:$D,4,0)</f>
        <v>Camions détail</v>
      </c>
      <c r="W458" s="656" t="str">
        <f>+VLOOKUP($L458,Data_Validation!$A:$E,5,0)</f>
        <v>NB</v>
      </c>
      <c r="X458" s="656">
        <f>+VLOOKUP($L458,Data_Validation!$A:$F,6,0)</f>
        <v>0</v>
      </c>
    </row>
    <row r="459" spans="1:24" ht="15.75" customHeight="1">
      <c r="A459" s="1218" t="s">
        <v>988</v>
      </c>
      <c r="B459" s="1218" t="s">
        <v>989</v>
      </c>
      <c r="C459" s="1219"/>
      <c r="D459" s="1219"/>
      <c r="E459" s="1219"/>
      <c r="F459" s="1218" t="s">
        <v>7</v>
      </c>
      <c r="G459" s="1218" t="s">
        <v>987</v>
      </c>
      <c r="H459" s="1218" t="s">
        <v>3950</v>
      </c>
      <c r="I459" s="1220">
        <v>-16</v>
      </c>
      <c r="J459" s="1220">
        <v>-5</v>
      </c>
      <c r="K459" s="1220">
        <v>-21</v>
      </c>
      <c r="L459" s="653" t="str">
        <f t="shared" si="196"/>
        <v>4127@</v>
      </c>
      <c r="M459" s="654" t="str">
        <f t="shared" si="197"/>
        <v># DE VENTE - GOLF GTI</v>
      </c>
      <c r="N459" s="655">
        <f>+IF(OR($Q459=Parametres!$G$2,$Q459=Parametres!$G$3),I459,C459)</f>
        <v>-16</v>
      </c>
      <c r="O459" s="655">
        <f>+IF(OR($Q459=Parametres!$G$2,$Q459=Parametres!$G$3),J459,D459)</f>
        <v>-5</v>
      </c>
      <c r="P459" s="655">
        <f>+IF(OR($Q459=Parametres!$G$2,$Q459=Parametres!$G$3),K459,E459)</f>
        <v>-21</v>
      </c>
      <c r="Q459" s="654" t="str">
        <f t="shared" si="198"/>
        <v>10-Compte compteur</v>
      </c>
      <c r="R459" s="653" t="str">
        <f t="shared" si="199"/>
        <v>4127</v>
      </c>
      <c r="S459" s="654" t="str">
        <f t="shared" si="200"/>
        <v>_</v>
      </c>
      <c r="T459" s="656" t="str">
        <f>+VLOOKUP($L459,Data_Validation!$A:$D,1,0)</f>
        <v>4127@</v>
      </c>
      <c r="U459" s="656" t="str">
        <f>+VLOOKUP($L459,Data_Validation!$A:$D,3,0)</f>
        <v>Véhicules neufs</v>
      </c>
      <c r="V459" s="656" t="str">
        <f>+VLOOKUP($L459,Data_Validation!$A:$D,4,0)</f>
        <v>Autos détail</v>
      </c>
      <c r="W459" s="656" t="str">
        <f>+VLOOKUP($L459,Data_Validation!$A:$E,5,0)</f>
        <v>NB</v>
      </c>
      <c r="X459" s="656">
        <f>+VLOOKUP($L459,Data_Validation!$A:$F,6,0)</f>
        <v>0</v>
      </c>
    </row>
    <row r="460" spans="1:24" ht="15.75" customHeight="1">
      <c r="A460" s="1218" t="s">
        <v>992</v>
      </c>
      <c r="B460" s="1218" t="s">
        <v>993</v>
      </c>
      <c r="C460" s="1219"/>
      <c r="D460" s="1219"/>
      <c r="E460" s="1219"/>
      <c r="F460" s="1218" t="s">
        <v>7</v>
      </c>
      <c r="G460" s="1218" t="s">
        <v>991</v>
      </c>
      <c r="H460" s="1218" t="s">
        <v>3950</v>
      </c>
      <c r="I460" s="1220">
        <v>-32</v>
      </c>
      <c r="J460" s="1220">
        <v>-26</v>
      </c>
      <c r="K460" s="1220">
        <v>-58</v>
      </c>
      <c r="L460" s="653" t="str">
        <f t="shared" si="196"/>
        <v>4131@</v>
      </c>
      <c r="M460" s="654" t="str">
        <f t="shared" si="197"/>
        <v># DE VTE - TIGUAN LWB</v>
      </c>
      <c r="N460" s="655">
        <f>+IF(OR($Q460=Parametres!$G$2,$Q460=Parametres!$G$3),I460,C460)</f>
        <v>-32</v>
      </c>
      <c r="O460" s="655">
        <f>+IF(OR($Q460=Parametres!$G$2,$Q460=Parametres!$G$3),J460,D460)</f>
        <v>-26</v>
      </c>
      <c r="P460" s="655">
        <f>+IF(OR($Q460=Parametres!$G$2,$Q460=Parametres!$G$3),K460,E460)</f>
        <v>-58</v>
      </c>
      <c r="Q460" s="654" t="str">
        <f t="shared" si="198"/>
        <v>10-Compte compteur</v>
      </c>
      <c r="R460" s="653" t="str">
        <f t="shared" si="199"/>
        <v>4131</v>
      </c>
      <c r="S460" s="654" t="str">
        <f t="shared" si="200"/>
        <v>_</v>
      </c>
      <c r="T460" s="656" t="str">
        <f>+VLOOKUP($L460,Data_Validation!$A:$D,1,0)</f>
        <v>4131@</v>
      </c>
      <c r="U460" s="656" t="str">
        <f>+VLOOKUP($L460,Data_Validation!$A:$D,3,0)</f>
        <v>Véhicules neufs</v>
      </c>
      <c r="V460" s="656" t="str">
        <f>+VLOOKUP($L460,Data_Validation!$A:$D,4,0)</f>
        <v>Camions détail</v>
      </c>
      <c r="W460" s="656" t="str">
        <f>+VLOOKUP($L460,Data_Validation!$A:$E,5,0)</f>
        <v>NB</v>
      </c>
      <c r="X460" s="656">
        <f>+VLOOKUP($L460,Data_Validation!$A:$F,6,0)</f>
        <v>0</v>
      </c>
    </row>
    <row r="461" spans="1:24" ht="15.75" customHeight="1">
      <c r="A461" s="1218" t="s">
        <v>996</v>
      </c>
      <c r="B461" s="1218" t="s">
        <v>997</v>
      </c>
      <c r="C461" s="1219"/>
      <c r="D461" s="1219"/>
      <c r="E461" s="1219"/>
      <c r="F461" s="1218" t="s">
        <v>7</v>
      </c>
      <c r="G461" s="1218" t="s">
        <v>995</v>
      </c>
      <c r="H461" s="1218" t="s">
        <v>3950</v>
      </c>
      <c r="I461" s="1220">
        <v>-12</v>
      </c>
      <c r="J461" s="1220">
        <v>0</v>
      </c>
      <c r="K461" s="1220">
        <v>-12</v>
      </c>
      <c r="L461" s="653" t="str">
        <f t="shared" si="196"/>
        <v>4137@</v>
      </c>
      <c r="M461" s="654" t="str">
        <f t="shared" si="197"/>
        <v>VW FLOTTE/VENTE ENTR/EMPLOYE/VEH DEMONST</v>
      </c>
      <c r="N461" s="655">
        <f>+IF(OR($Q461=Parametres!$G$2,$Q461=Parametres!$G$3),I461,C461)</f>
        <v>-12</v>
      </c>
      <c r="O461" s="655">
        <f>+IF(OR($Q461=Parametres!$G$2,$Q461=Parametres!$G$3),J461,D461)</f>
        <v>0</v>
      </c>
      <c r="P461" s="655">
        <f>+IF(OR($Q461=Parametres!$G$2,$Q461=Parametres!$G$3),K461,E461)</f>
        <v>-12</v>
      </c>
      <c r="Q461" s="654" t="str">
        <f t="shared" si="198"/>
        <v>10-Compte compteur</v>
      </c>
      <c r="R461" s="653" t="str">
        <f t="shared" si="199"/>
        <v>4137</v>
      </c>
      <c r="S461" s="654" t="str">
        <f t="shared" si="200"/>
        <v>_</v>
      </c>
      <c r="T461" s="656" t="str">
        <f>+VLOOKUP($L461,Data_Validation!$A:$D,1,0)</f>
        <v>4137@</v>
      </c>
      <c r="U461" s="656" t="str">
        <f>+VLOOKUP($L461,Data_Validation!$A:$D,3,0)</f>
        <v>Véhicules neufs</v>
      </c>
      <c r="V461" s="656" t="str">
        <f>+VLOOKUP($L461,Data_Validation!$A:$D,4,0)</f>
        <v>Flottes</v>
      </c>
      <c r="W461" s="656" t="str">
        <f>+VLOOKUP($L461,Data_Validation!$A:$E,5,0)</f>
        <v>NB</v>
      </c>
      <c r="X461" s="656">
        <f>+VLOOKUP($L461,Data_Validation!$A:$F,6,0)</f>
        <v>0</v>
      </c>
    </row>
    <row r="462" spans="1:24" ht="15.75" customHeight="1">
      <c r="A462" s="1218" t="s">
        <v>1000</v>
      </c>
      <c r="B462" s="1218" t="s">
        <v>1001</v>
      </c>
      <c r="C462" s="1219"/>
      <c r="D462" s="1219"/>
      <c r="E462" s="1219"/>
      <c r="F462" s="1218" t="s">
        <v>7</v>
      </c>
      <c r="G462" s="1218" t="s">
        <v>999</v>
      </c>
      <c r="H462" s="1218" t="s">
        <v>3950</v>
      </c>
      <c r="I462" s="1220">
        <v>-21</v>
      </c>
      <c r="J462" s="1220">
        <v>-5</v>
      </c>
      <c r="K462" s="1220">
        <v>-26</v>
      </c>
      <c r="L462" s="653" t="str">
        <f t="shared" si="196"/>
        <v>4139@</v>
      </c>
      <c r="M462" s="654" t="str">
        <f t="shared" si="197"/>
        <v>VENTES A PARK AVENUE LOCATION</v>
      </c>
      <c r="N462" s="655">
        <f>+IF(OR($Q462=Parametres!$G$2,$Q462=Parametres!$G$3),I462,C462)</f>
        <v>-21</v>
      </c>
      <c r="O462" s="655">
        <f>+IF(OR($Q462=Parametres!$G$2,$Q462=Parametres!$G$3),J462,D462)</f>
        <v>-5</v>
      </c>
      <c r="P462" s="655">
        <f>+IF(OR($Q462=Parametres!$G$2,$Q462=Parametres!$G$3),K462,E462)</f>
        <v>-26</v>
      </c>
      <c r="Q462" s="654" t="str">
        <f t="shared" si="198"/>
        <v>10-Compte compteur</v>
      </c>
      <c r="R462" s="653" t="str">
        <f t="shared" si="199"/>
        <v>4139</v>
      </c>
      <c r="S462" s="654" t="str">
        <f t="shared" si="200"/>
        <v>_</v>
      </c>
      <c r="T462" s="656" t="str">
        <f>+VLOOKUP($L462,Data_Validation!$A:$D,1,0)</f>
        <v>4139@</v>
      </c>
      <c r="U462" s="656" t="str">
        <f>+VLOOKUP($L462,Data_Validation!$A:$D,3,0)</f>
        <v>Véhicules neufs</v>
      </c>
      <c r="V462" s="656" t="str">
        <f>+VLOOKUP($L462,Data_Validation!$A:$D,4,0)</f>
        <v>Ex-Démos et courtoisies</v>
      </c>
      <c r="W462" s="656" t="str">
        <f>+VLOOKUP($L462,Data_Validation!$A:$E,5,0)</f>
        <v>NB</v>
      </c>
      <c r="X462" s="656">
        <f>+VLOOKUP($L462,Data_Validation!$A:$F,6,0)</f>
        <v>0</v>
      </c>
    </row>
    <row r="463" spans="1:24" ht="15.75" customHeight="1">
      <c r="A463" s="1218" t="s">
        <v>3897</v>
      </c>
      <c r="B463" s="1218" t="s">
        <v>3898</v>
      </c>
      <c r="C463" s="1219"/>
      <c r="D463" s="1219"/>
      <c r="E463" s="1219"/>
      <c r="F463" s="1218" t="s">
        <v>7</v>
      </c>
      <c r="G463" s="1218" t="s">
        <v>3894</v>
      </c>
      <c r="H463" s="1218" t="s">
        <v>3950</v>
      </c>
      <c r="I463" s="1220">
        <v>-48</v>
      </c>
      <c r="J463" s="1220">
        <v>-2</v>
      </c>
      <c r="K463" s="1220">
        <v>-50</v>
      </c>
      <c r="L463" s="653" t="str">
        <f t="shared" si="196"/>
        <v>4141@</v>
      </c>
      <c r="M463" s="654" t="str">
        <f t="shared" si="197"/>
        <v># DE VTW - ID4</v>
      </c>
      <c r="N463" s="655">
        <f>+IF(OR($Q463=Parametres!$G$2,$Q463=Parametres!$G$3),I463,C463)</f>
        <v>-48</v>
      </c>
      <c r="O463" s="655">
        <f>+IF(OR($Q463=Parametres!$G$2,$Q463=Parametres!$G$3),J463,D463)</f>
        <v>-2</v>
      </c>
      <c r="P463" s="655">
        <f>+IF(OR($Q463=Parametres!$G$2,$Q463=Parametres!$G$3),K463,E463)</f>
        <v>-50</v>
      </c>
      <c r="Q463" s="654" t="str">
        <f t="shared" si="198"/>
        <v>10-Compte compteur</v>
      </c>
      <c r="R463" s="653" t="str">
        <f t="shared" si="199"/>
        <v>4141</v>
      </c>
      <c r="S463" s="654" t="str">
        <f t="shared" si="200"/>
        <v>_</v>
      </c>
      <c r="T463" s="656" t="str">
        <f>+VLOOKUP($L463,Data_Validation!$A:$D,1,0)</f>
        <v>4141@</v>
      </c>
      <c r="U463" s="656" t="str">
        <f>+VLOOKUP($L463,Data_Validation!$A:$D,3,0)</f>
        <v>Véhicules neufs</v>
      </c>
      <c r="V463" s="656" t="str">
        <f>+VLOOKUP($L463,Data_Validation!$A:$D,4,0)</f>
        <v>Camions détail</v>
      </c>
      <c r="W463" s="656" t="str">
        <f>+VLOOKUP($L463,Data_Validation!$A:$E,5,0)</f>
        <v>NB</v>
      </c>
      <c r="X463" s="656">
        <f>+VLOOKUP($L463,Data_Validation!$A:$F,6,0)</f>
        <v>0</v>
      </c>
    </row>
    <row r="464" spans="1:24" ht="15.75" customHeight="1">
      <c r="A464" s="1218" t="s">
        <v>1004</v>
      </c>
      <c r="B464" s="1218" t="s">
        <v>1005</v>
      </c>
      <c r="C464" s="1219"/>
      <c r="D464" s="1219"/>
      <c r="E464" s="1219"/>
      <c r="F464" s="1218" t="s">
        <v>7</v>
      </c>
      <c r="G464" s="1218" t="s">
        <v>1003</v>
      </c>
      <c r="H464" s="1218" t="s">
        <v>3950</v>
      </c>
      <c r="I464" s="1220">
        <v>-7</v>
      </c>
      <c r="J464" s="1220">
        <v>-2</v>
      </c>
      <c r="K464" s="1220">
        <v>-9</v>
      </c>
      <c r="L464" s="653" t="str">
        <f t="shared" ref="L464:L466" si="201">TEXT(B464,0)</f>
        <v>4144@</v>
      </c>
      <c r="M464" s="654" t="str">
        <f t="shared" ref="M464:M466" si="202">+A464</f>
        <v># OF VTES -JETTA GLI</v>
      </c>
      <c r="N464" s="655">
        <f>+IF(OR($Q464=Parametres!$G$2,$Q464=Parametres!$G$3),I464,C464)</f>
        <v>-7</v>
      </c>
      <c r="O464" s="655">
        <f>+IF(OR($Q464=Parametres!$G$2,$Q464=Parametres!$G$3),J464,D464)</f>
        <v>-2</v>
      </c>
      <c r="P464" s="655">
        <f>+IF(OR($Q464=Parametres!$G$2,$Q464=Parametres!$G$3),K464,E464)</f>
        <v>-9</v>
      </c>
      <c r="Q464" s="654" t="str">
        <f t="shared" ref="Q464:Q466" si="203">+F464</f>
        <v>10-Compte compteur</v>
      </c>
      <c r="R464" s="653" t="str">
        <f t="shared" ref="R464:R466" si="204">+G464</f>
        <v>414</v>
      </c>
      <c r="S464" s="654" t="str">
        <f t="shared" ref="S464:S466" si="205">+H464</f>
        <v>_</v>
      </c>
      <c r="T464" s="656" t="str">
        <f>+VLOOKUP($L464,Data_Validation!$A:$D,1,0)</f>
        <v>4144@</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customHeight="1">
      <c r="A465" s="1218" t="s">
        <v>3952</v>
      </c>
      <c r="B465" s="1218" t="s">
        <v>3956</v>
      </c>
      <c r="C465" s="1219"/>
      <c r="D465" s="1219"/>
      <c r="E465" s="1219"/>
      <c r="F465" s="1218" t="s">
        <v>7</v>
      </c>
      <c r="G465" s="1218" t="s">
        <v>3954</v>
      </c>
      <c r="H465" s="1218" t="s">
        <v>3950</v>
      </c>
      <c r="I465" s="1220">
        <v>0</v>
      </c>
      <c r="J465" s="1220">
        <v>-1</v>
      </c>
      <c r="K465" s="1220">
        <v>-1</v>
      </c>
      <c r="L465" s="653" t="str">
        <f t="shared" si="201"/>
        <v>4145@</v>
      </c>
      <c r="M465" s="654" t="str">
        <f t="shared" si="202"/>
        <v>ID BUZZ</v>
      </c>
      <c r="N465" s="655">
        <f>+IF(OR($Q465=Parametres!$G$2,$Q465=Parametres!$G$3),I465,C465)</f>
        <v>0</v>
      </c>
      <c r="O465" s="655">
        <f>+IF(OR($Q465=Parametres!$G$2,$Q465=Parametres!$G$3),J465,D465)</f>
        <v>-1</v>
      </c>
      <c r="P465" s="655">
        <f>+IF(OR($Q465=Parametres!$G$2,$Q465=Parametres!$G$3),K465,E465)</f>
        <v>-1</v>
      </c>
      <c r="Q465" s="654" t="str">
        <f t="shared" si="203"/>
        <v>10-Compte compteur</v>
      </c>
      <c r="R465" s="653" t="str">
        <f t="shared" si="204"/>
        <v>84137</v>
      </c>
      <c r="S465" s="654" t="str">
        <f t="shared" si="205"/>
        <v>_</v>
      </c>
      <c r="T465" s="656" t="str">
        <f>+VLOOKUP($L465,Data_Validation!$A:$D,1,0)</f>
        <v>4145@</v>
      </c>
      <c r="U465" s="656" t="str">
        <f>+VLOOKUP($L465,Data_Validation!$A:$D,3,0)</f>
        <v>Véhicules neufs</v>
      </c>
      <c r="V465" s="656" t="str">
        <f>+VLOOKUP($L465,Data_Validation!$A:$D,4,0)</f>
        <v>Camions détail</v>
      </c>
      <c r="W465" s="656" t="str">
        <f>+VLOOKUP($L465,Data_Validation!$A:$E,5,0)</f>
        <v>NB</v>
      </c>
      <c r="X465" s="656">
        <f>+VLOOKUP($L465,Data_Validation!$A:$F,6,0)</f>
        <v>0</v>
      </c>
    </row>
    <row r="466" spans="1:24" ht="15.75" customHeight="1">
      <c r="A466" s="1218" t="s">
        <v>1008</v>
      </c>
      <c r="B466" s="1218" t="s">
        <v>1009</v>
      </c>
      <c r="C466" s="1219"/>
      <c r="D466" s="1219"/>
      <c r="E466" s="1219"/>
      <c r="F466" s="1218" t="s">
        <v>7</v>
      </c>
      <c r="G466" s="1218" t="s">
        <v>1007</v>
      </c>
      <c r="H466" s="1218" t="s">
        <v>3950</v>
      </c>
      <c r="I466" s="1220">
        <v>-146</v>
      </c>
      <c r="J466" s="1220">
        <v>-28</v>
      </c>
      <c r="K466" s="1220">
        <v>-174</v>
      </c>
      <c r="L466" s="653" t="str">
        <f t="shared" si="201"/>
        <v>4201@</v>
      </c>
      <c r="M466" s="654" t="str">
        <f t="shared" si="202"/>
        <v># DE VTE - VEH.USAGE VW DET.CERT.</v>
      </c>
      <c r="N466" s="655">
        <f>+IF(OR($Q466=Parametres!$G$2,$Q466=Parametres!$G$3),I466,C466)</f>
        <v>-146</v>
      </c>
      <c r="O466" s="655">
        <f>+IF(OR($Q466=Parametres!$G$2,$Q466=Parametres!$G$3),J466,D466)</f>
        <v>-28</v>
      </c>
      <c r="P466" s="655">
        <f>+IF(OR($Q466=Parametres!$G$2,$Q466=Parametres!$G$3),K466,E466)</f>
        <v>-174</v>
      </c>
      <c r="Q466" s="654" t="str">
        <f t="shared" si="203"/>
        <v>10-Compte compteur</v>
      </c>
      <c r="R466" s="653" t="str">
        <f t="shared" si="204"/>
        <v>4201</v>
      </c>
      <c r="S466" s="654" t="str">
        <f t="shared" si="205"/>
        <v>_</v>
      </c>
      <c r="T466" s="656" t="str">
        <f>+VLOOKUP($L466,Data_Validation!$A:$D,1,0)</f>
        <v>4201@</v>
      </c>
      <c r="U466" s="656" t="str">
        <f>+VLOOKUP($L466,Data_Validation!$A:$D,3,0)</f>
        <v>Véhicules usagés</v>
      </c>
      <c r="V466" s="656" t="str">
        <f>+VLOOKUP($L466,Data_Validation!$A:$D,4,0)</f>
        <v>Certifié</v>
      </c>
      <c r="W466" s="656" t="str">
        <f>+VLOOKUP($L466,Data_Validation!$A:$E,5,0)</f>
        <v>NB</v>
      </c>
      <c r="X466" s="656">
        <f>+VLOOKUP($L466,Data_Validation!$A:$F,6,0)</f>
        <v>0</v>
      </c>
    </row>
    <row r="467" spans="1:24" ht="15.75" customHeight="1">
      <c r="A467" s="1218" t="s">
        <v>1012</v>
      </c>
      <c r="B467" s="1218" t="s">
        <v>1013</v>
      </c>
      <c r="C467" s="1219"/>
      <c r="D467" s="1219"/>
      <c r="E467" s="1219"/>
      <c r="F467" s="1218" t="s">
        <v>7</v>
      </c>
      <c r="G467" s="1218" t="s">
        <v>1011</v>
      </c>
      <c r="H467" s="1218" t="s">
        <v>3950</v>
      </c>
      <c r="I467" s="1220">
        <v>-8</v>
      </c>
      <c r="J467" s="1220">
        <v>0</v>
      </c>
      <c r="K467" s="1220">
        <v>-8</v>
      </c>
      <c r="L467" s="653" t="str">
        <f t="shared" ref="L467:L469" si="206">TEXT(B467,0)</f>
        <v>4211@</v>
      </c>
      <c r="M467" s="654" t="str">
        <f t="shared" ref="M467:M469" si="207">+A467</f>
        <v>VENTES USED DET. CHAMBLY</v>
      </c>
      <c r="N467" s="655">
        <f>+IF(OR($Q467=Parametres!$G$2,$Q467=Parametres!$G$3),I467,C467)</f>
        <v>-8</v>
      </c>
      <c r="O467" s="655">
        <f>+IF(OR($Q467=Parametres!$G$2,$Q467=Parametres!$G$3),J467,D467)</f>
        <v>0</v>
      </c>
      <c r="P467" s="655">
        <f>+IF(OR($Q467=Parametres!$G$2,$Q467=Parametres!$G$3),K467,E467)</f>
        <v>-8</v>
      </c>
      <c r="Q467" s="654" t="str">
        <f t="shared" ref="Q467:Q469" si="208">+F467</f>
        <v>10-Compte compteur</v>
      </c>
      <c r="R467" s="653" t="str">
        <f t="shared" ref="R467:R469" si="209">+G467</f>
        <v>4211</v>
      </c>
      <c r="S467" s="654" t="str">
        <f t="shared" ref="S467:S469" si="210">+H467</f>
        <v>_</v>
      </c>
      <c r="T467" s="656" t="str">
        <f>+VLOOKUP($L467,Data_Validation!$A:$D,1,0)</f>
        <v>4211@</v>
      </c>
      <c r="U467" s="656" t="str">
        <f>+VLOOKUP($L467,Data_Validation!$A:$D,3,0)</f>
        <v>Véhicules usagés</v>
      </c>
      <c r="V467" s="656" t="str">
        <f>+VLOOKUP($L467,Data_Validation!$A:$D,4,0)</f>
        <v>Non Certifié</v>
      </c>
      <c r="W467" s="656" t="str">
        <f>+VLOOKUP($L467,Data_Validation!$A:$E,5,0)</f>
        <v>NB</v>
      </c>
      <c r="X467" s="656">
        <f>+VLOOKUP($L467,Data_Validation!$A:$F,6,0)</f>
        <v>0</v>
      </c>
    </row>
    <row r="468" spans="1:24" ht="15.75" customHeight="1">
      <c r="A468" s="1218" t="s">
        <v>1016</v>
      </c>
      <c r="B468" s="1218" t="s">
        <v>1017</v>
      </c>
      <c r="C468" s="1219"/>
      <c r="D468" s="1219"/>
      <c r="E468" s="1219"/>
      <c r="F468" s="1218" t="s">
        <v>7</v>
      </c>
      <c r="G468" s="1218" t="s">
        <v>1015</v>
      </c>
      <c r="H468" s="1218" t="s">
        <v>3950</v>
      </c>
      <c r="I468" s="1220">
        <v>-7</v>
      </c>
      <c r="J468" s="1220">
        <v>0</v>
      </c>
      <c r="K468" s="1220">
        <v>-7</v>
      </c>
      <c r="L468" s="653" t="str">
        <f t="shared" si="206"/>
        <v>4285@</v>
      </c>
      <c r="M468" s="654" t="str">
        <f t="shared" si="207"/>
        <v>AUTRE MARQUES DETAIL - USAGE</v>
      </c>
      <c r="N468" s="655">
        <f>+IF(OR($Q468=Parametres!$G$2,$Q468=Parametres!$G$3),I468,C468)</f>
        <v>-7</v>
      </c>
      <c r="O468" s="655">
        <f>+IF(OR($Q468=Parametres!$G$2,$Q468=Parametres!$G$3),J468,D468)</f>
        <v>0</v>
      </c>
      <c r="P468" s="655">
        <f>+IF(OR($Q468=Parametres!$G$2,$Q468=Parametres!$G$3),K468,E468)</f>
        <v>-7</v>
      </c>
      <c r="Q468" s="654" t="str">
        <f t="shared" si="208"/>
        <v>10-Compte compteur</v>
      </c>
      <c r="R468" s="653" t="str">
        <f t="shared" si="209"/>
        <v>4261</v>
      </c>
      <c r="S468" s="654" t="str">
        <f t="shared" si="210"/>
        <v>_</v>
      </c>
      <c r="T468" s="656" t="str">
        <f>+VLOOKUP($L468,Data_Validation!$A:$D,1,0)</f>
        <v>4285@</v>
      </c>
      <c r="U468" s="656" t="str">
        <f>+VLOOKUP($L468,Data_Validation!$A:$D,3,0)</f>
        <v>Véhicules usagés</v>
      </c>
      <c r="V468" s="656" t="str">
        <f>+VLOOKUP($L468,Data_Validation!$A:$D,4,0)</f>
        <v>Autres Marques</v>
      </c>
      <c r="W468" s="656" t="str">
        <f>+VLOOKUP($L468,Data_Validation!$A:$E,5,0)</f>
        <v>NB</v>
      </c>
      <c r="X468" s="656">
        <f>+VLOOKUP($L468,Data_Validation!$A:$F,6,0)</f>
        <v>0</v>
      </c>
    </row>
    <row r="469" spans="1:24" ht="15.75" customHeight="1">
      <c r="A469" s="1218" t="s">
        <v>1020</v>
      </c>
      <c r="B469" s="1218" t="s">
        <v>1021</v>
      </c>
      <c r="C469" s="1219"/>
      <c r="D469" s="1219"/>
      <c r="E469" s="1219"/>
      <c r="F469" s="1218" t="s">
        <v>7</v>
      </c>
      <c r="G469" s="1218" t="s">
        <v>1019</v>
      </c>
      <c r="H469" s="1218" t="s">
        <v>3950</v>
      </c>
      <c r="I469" s="1220">
        <v>-128</v>
      </c>
      <c r="J469" s="1220">
        <v>-51</v>
      </c>
      <c r="K469" s="1220">
        <v>-179</v>
      </c>
      <c r="L469" s="653" t="str">
        <f t="shared" si="206"/>
        <v>4291@</v>
      </c>
      <c r="M469" s="654" t="str">
        <f t="shared" si="207"/>
        <v>VENTE AU GROS - USAGES</v>
      </c>
      <c r="N469" s="655">
        <f>+IF(OR($Q469=Parametres!$G$2,$Q469=Parametres!$G$3),I469,C469)</f>
        <v>-128</v>
      </c>
      <c r="O469" s="655">
        <f>+IF(OR($Q469=Parametres!$G$2,$Q469=Parametres!$G$3),J469,D469)</f>
        <v>-51</v>
      </c>
      <c r="P469" s="655">
        <f>+IF(OR($Q469=Parametres!$G$2,$Q469=Parametres!$G$3),K469,E469)</f>
        <v>-179</v>
      </c>
      <c r="Q469" s="654" t="str">
        <f t="shared" si="208"/>
        <v>10-Compte compteur</v>
      </c>
      <c r="R469" s="653" t="str">
        <f t="shared" si="209"/>
        <v>4281</v>
      </c>
      <c r="S469" s="654" t="str">
        <f t="shared" si="210"/>
        <v>_</v>
      </c>
      <c r="T469" s="656" t="str">
        <f>+VLOOKUP($L469,Data_Validation!$A:$D,1,0)</f>
        <v>4291@</v>
      </c>
      <c r="U469" s="656" t="str">
        <f>+VLOOKUP($L469,Data_Validation!$A:$D,3,0)</f>
        <v>Véhicules usagés</v>
      </c>
      <c r="V469" s="656" t="str">
        <f>+VLOOKUP($L469,Data_Validation!$A:$D,4,0)</f>
        <v>Ventes au Gros</v>
      </c>
      <c r="W469" s="656" t="str">
        <f>+VLOOKUP($L469,Data_Validation!$A:$E,5,0)</f>
        <v>NB</v>
      </c>
      <c r="X469" s="656">
        <f>+VLOOKUP($L469,Data_Validation!$A:$F,6,0)</f>
        <v>0</v>
      </c>
    </row>
    <row r="470" spans="1:24" ht="15.75" customHeight="1">
      <c r="A470" s="1218" t="s">
        <v>3671</v>
      </c>
      <c r="B470" s="1218" t="s">
        <v>1024</v>
      </c>
      <c r="C470" s="1219"/>
      <c r="D470" s="1219"/>
      <c r="E470" s="1219"/>
      <c r="F470" s="1218" t="s">
        <v>7</v>
      </c>
      <c r="G470" s="1218" t="s">
        <v>1023</v>
      </c>
      <c r="H470" s="1218" t="s">
        <v>3950</v>
      </c>
      <c r="I470" s="1220">
        <v>-2720</v>
      </c>
      <c r="J470" s="1220">
        <v>-402</v>
      </c>
      <c r="K470" s="1220">
        <v>-3122</v>
      </c>
      <c r="L470" s="653" t="str">
        <f t="shared" ref="L470:L473" si="211">TEXT(B470,0)</f>
        <v>4401@</v>
      </c>
      <c r="M470" s="654" t="str">
        <f t="shared" ref="M470:M473" si="212">+A470</f>
        <v>MAIN-D'OEUVRE - CLIENT VW - MCI</v>
      </c>
      <c r="N470" s="655">
        <f>+IF(OR($Q470=Parametres!$G$2,$Q470=Parametres!$G$3),I470,C470)</f>
        <v>-2720</v>
      </c>
      <c r="O470" s="655">
        <f>+IF(OR($Q470=Parametres!$G$2,$Q470=Parametres!$G$3),J470,D470)</f>
        <v>-402</v>
      </c>
      <c r="P470" s="655">
        <f>+IF(OR($Q470=Parametres!$G$2,$Q470=Parametres!$G$3),K470,E470)</f>
        <v>-3122</v>
      </c>
      <c r="Q470" s="654" t="str">
        <f t="shared" ref="Q470:Q473" si="213">+F470</f>
        <v>10-Compte compteur</v>
      </c>
      <c r="R470" s="653" t="str">
        <f t="shared" ref="R470:R473" si="214">+G470</f>
        <v>4401</v>
      </c>
      <c r="S470" s="654" t="str">
        <f t="shared" ref="S470:S473" si="215">+H470</f>
        <v>_</v>
      </c>
      <c r="T470" s="656" t="str">
        <f>+VLOOKUP($L470,Data_Validation!$A:$D,1,0)</f>
        <v>4401@</v>
      </c>
      <c r="U470" s="656" t="str">
        <f>+VLOOKUP($L470,Data_Validation!$A:$D,3,0)</f>
        <v>Service</v>
      </c>
      <c r="V470" s="656" t="str">
        <f>+VLOOKUP($L470,Data_Validation!$A:$D,4,0)</f>
        <v>M/O Client</v>
      </c>
      <c r="W470" s="656" t="str">
        <f>+VLOOKUP($L470,Data_Validation!$A:$E,5,0)</f>
        <v>NB</v>
      </c>
      <c r="X470" s="656">
        <f>+VLOOKUP($L470,Data_Validation!$A:$F,6,0)</f>
        <v>0</v>
      </c>
    </row>
    <row r="471" spans="1:24" ht="15.75" customHeight="1">
      <c r="A471" s="1218" t="s">
        <v>3672</v>
      </c>
      <c r="B471" s="1218" t="s">
        <v>1029</v>
      </c>
      <c r="C471" s="1219"/>
      <c r="D471" s="1219"/>
      <c r="E471" s="1219"/>
      <c r="F471" s="1218" t="s">
        <v>7</v>
      </c>
      <c r="G471" s="1218" t="s">
        <v>1028</v>
      </c>
      <c r="H471" s="1218" t="s">
        <v>3950</v>
      </c>
      <c r="I471" s="1220">
        <v>-1376</v>
      </c>
      <c r="J471" s="1220">
        <v>-211</v>
      </c>
      <c r="K471" s="1220">
        <v>-1587</v>
      </c>
      <c r="L471" s="653" t="str">
        <f t="shared" si="211"/>
        <v>4403@</v>
      </c>
      <c r="M471" s="654" t="str">
        <f t="shared" si="212"/>
        <v>MAIN-D'OEUVRE - GARANTIE VW - MCI</v>
      </c>
      <c r="N471" s="655">
        <f>+IF(OR($Q471=Parametres!$G$2,$Q471=Parametres!$G$3),I471,C471)</f>
        <v>-1376</v>
      </c>
      <c r="O471" s="655">
        <f>+IF(OR($Q471=Parametres!$G$2,$Q471=Parametres!$G$3),J471,D471)</f>
        <v>-211</v>
      </c>
      <c r="P471" s="655">
        <f>+IF(OR($Q471=Parametres!$G$2,$Q471=Parametres!$G$3),K471,E471)</f>
        <v>-1587</v>
      </c>
      <c r="Q471" s="654" t="str">
        <f t="shared" si="213"/>
        <v>10-Compte compteur</v>
      </c>
      <c r="R471" s="653" t="str">
        <f t="shared" si="214"/>
        <v>4403</v>
      </c>
      <c r="S471" s="654" t="str">
        <f t="shared" si="215"/>
        <v>_</v>
      </c>
      <c r="T471" s="656" t="str">
        <f>+VLOOKUP($L471,Data_Validation!$A:$D,1,0)</f>
        <v>4403@</v>
      </c>
      <c r="U471" s="656" t="str">
        <f>+VLOOKUP($L471,Data_Validation!$A:$D,3,0)</f>
        <v>Service</v>
      </c>
      <c r="V471" s="656" t="str">
        <f>+VLOOKUP($L471,Data_Validation!$A:$D,4,0)</f>
        <v>M/O Garantie</v>
      </c>
      <c r="W471" s="656" t="str">
        <f>+VLOOKUP($L471,Data_Validation!$A:$E,5,0)</f>
        <v>NB</v>
      </c>
      <c r="X471" s="656">
        <f>+VLOOKUP($L471,Data_Validation!$A:$F,6,0)</f>
        <v>0</v>
      </c>
    </row>
    <row r="472" spans="1:24" ht="15.75" customHeight="1">
      <c r="A472" s="1218" t="s">
        <v>3673</v>
      </c>
      <c r="B472" s="1218" t="s">
        <v>1032</v>
      </c>
      <c r="C472" s="1219"/>
      <c r="D472" s="1219"/>
      <c r="E472" s="1219"/>
      <c r="F472" s="1218" t="s">
        <v>7</v>
      </c>
      <c r="G472" s="1218" t="s">
        <v>1031</v>
      </c>
      <c r="H472" s="1218" t="s">
        <v>3950</v>
      </c>
      <c r="I472" s="1220">
        <v>-1360</v>
      </c>
      <c r="J472" s="1220">
        <v>-249</v>
      </c>
      <c r="K472" s="1220">
        <v>-1609</v>
      </c>
      <c r="L472" s="653" t="str">
        <f t="shared" si="211"/>
        <v>4405@</v>
      </c>
      <c r="M472" s="654" t="str">
        <f t="shared" si="212"/>
        <v>MAIN-D'OEUVRE - INTERNE VW - MCI</v>
      </c>
      <c r="N472" s="655">
        <f>+IF(OR($Q472=Parametres!$G$2,$Q472=Parametres!$G$3),I472,C472)</f>
        <v>-1360</v>
      </c>
      <c r="O472" s="655">
        <f>+IF(OR($Q472=Parametres!$G$2,$Q472=Parametres!$G$3),J472,D472)</f>
        <v>-249</v>
      </c>
      <c r="P472" s="655">
        <f>+IF(OR($Q472=Parametres!$G$2,$Q472=Parametres!$G$3),K472,E472)</f>
        <v>-1609</v>
      </c>
      <c r="Q472" s="654" t="str">
        <f t="shared" si="213"/>
        <v>10-Compte compteur</v>
      </c>
      <c r="R472" s="653" t="str">
        <f t="shared" si="214"/>
        <v>4405</v>
      </c>
      <c r="S472" s="654" t="str">
        <f t="shared" si="215"/>
        <v>_</v>
      </c>
      <c r="T472" s="656" t="str">
        <f>+VLOOKUP($L472,Data_Validation!$A:$D,1,0)</f>
        <v>4405@</v>
      </c>
      <c r="U472" s="656" t="str">
        <f>+VLOOKUP($L472,Data_Validation!$A:$D,3,0)</f>
        <v>Service</v>
      </c>
      <c r="V472" s="656" t="str">
        <f>+VLOOKUP($L472,Data_Validation!$A:$D,4,0)</f>
        <v>M/O Interne</v>
      </c>
      <c r="W472" s="656" t="str">
        <f>+VLOOKUP($L472,Data_Validation!$A:$E,5,0)</f>
        <v>NB</v>
      </c>
      <c r="X472" s="656">
        <f>+VLOOKUP($L472,Data_Validation!$A:$F,6,0)</f>
        <v>0</v>
      </c>
    </row>
    <row r="473" spans="1:24" ht="15.75" customHeight="1">
      <c r="A473" s="1218" t="s">
        <v>1033</v>
      </c>
      <c r="B473" s="1218" t="s">
        <v>1035</v>
      </c>
      <c r="C473" s="1219"/>
      <c r="D473" s="1219"/>
      <c r="E473" s="1219"/>
      <c r="F473" s="1218" t="s">
        <v>7</v>
      </c>
      <c r="G473" s="1218" t="s">
        <v>1034</v>
      </c>
      <c r="H473" s="1218" t="s">
        <v>3950</v>
      </c>
      <c r="I473" s="1220">
        <v>-1783</v>
      </c>
      <c r="J473" s="1220">
        <v>-373</v>
      </c>
      <c r="K473" s="1220">
        <v>-2156</v>
      </c>
      <c r="L473" s="653" t="str">
        <f t="shared" si="211"/>
        <v>4451@</v>
      </c>
      <c r="M473" s="654" t="str">
        <f t="shared" si="212"/>
        <v>CARBURANT/HUILE/GRAISSE</v>
      </c>
      <c r="N473" s="655">
        <f>+IF(OR($Q473=Parametres!$G$2,$Q473=Parametres!$G$3),I473,C473)</f>
        <v>-1783</v>
      </c>
      <c r="O473" s="655">
        <f>+IF(OR($Q473=Parametres!$G$2,$Q473=Parametres!$G$3),J473,D473)</f>
        <v>-373</v>
      </c>
      <c r="P473" s="655">
        <f>+IF(OR($Q473=Parametres!$G$2,$Q473=Parametres!$G$3),K473,E473)</f>
        <v>-2156</v>
      </c>
      <c r="Q473" s="654" t="str">
        <f t="shared" si="213"/>
        <v>10-Compte compteur</v>
      </c>
      <c r="R473" s="653" t="str">
        <f t="shared" si="214"/>
        <v>4782</v>
      </c>
      <c r="S473" s="654" t="str">
        <f t="shared" si="215"/>
        <v>_</v>
      </c>
      <c r="T473" s="656" t="str">
        <f>+VLOOKUP($L473,Data_Validation!$A:$D,1,0)</f>
        <v>4451@</v>
      </c>
      <c r="U473" s="656" t="str">
        <f>+VLOOKUP($L473,Data_Validation!$A:$D,3,0)</f>
        <v>Pièces</v>
      </c>
      <c r="V473" s="656" t="str">
        <f>+VLOOKUP($L473,Data_Validation!$A:$D,4,0)</f>
        <v>Huiles et Graisse</v>
      </c>
      <c r="W473" s="656" t="str">
        <f>+VLOOKUP($L473,Data_Validation!$A:$E,5,0)</f>
        <v>NB</v>
      </c>
      <c r="X473" s="656">
        <f>+VLOOKUP($L473,Data_Validation!$A:$F,6,0)</f>
        <v>0</v>
      </c>
    </row>
    <row r="474" spans="1:24" ht="15.75" customHeight="1">
      <c r="A474" s="1218" t="s">
        <v>1036</v>
      </c>
      <c r="B474" s="1218" t="s">
        <v>1038</v>
      </c>
      <c r="C474" s="1219"/>
      <c r="D474" s="1219"/>
      <c r="E474" s="1219"/>
      <c r="F474" s="1218" t="s">
        <v>7</v>
      </c>
      <c r="G474" s="1218" t="s">
        <v>1037</v>
      </c>
      <c r="H474" s="1218" t="s">
        <v>3950</v>
      </c>
      <c r="I474" s="1220">
        <v>-351</v>
      </c>
      <c r="J474" s="1220">
        <v>-67</v>
      </c>
      <c r="K474" s="1220">
        <v>-418</v>
      </c>
      <c r="L474" s="653" t="str">
        <f t="shared" ref="L474:L477" si="216">TEXT(B474,0)</f>
        <v>4491@</v>
      </c>
      <c r="M474" s="654" t="str">
        <f t="shared" ref="M474:M477" si="217">+A474</f>
        <v>REPARATION SOUS-LOC. - GENERAL</v>
      </c>
      <c r="N474" s="655">
        <f>+IF(OR($Q474=Parametres!$G$2,$Q474=Parametres!$G$3),I474,C474)</f>
        <v>-351</v>
      </c>
      <c r="O474" s="655">
        <f>+IF(OR($Q474=Parametres!$G$2,$Q474=Parametres!$G$3),J474,D474)</f>
        <v>-67</v>
      </c>
      <c r="P474" s="655">
        <f>+IF(OR($Q474=Parametres!$G$2,$Q474=Parametres!$G$3),K474,E474)</f>
        <v>-418</v>
      </c>
      <c r="Q474" s="654" t="str">
        <f t="shared" ref="Q474:Q477" si="218">+F474</f>
        <v>10-Compte compteur</v>
      </c>
      <c r="R474" s="653" t="str">
        <f t="shared" ref="R474:R477" si="219">+G474</f>
        <v>4491</v>
      </c>
      <c r="S474" s="654" t="str">
        <f t="shared" ref="S474:S477" si="220">+H474</f>
        <v>_</v>
      </c>
      <c r="T474" s="656" t="str">
        <f>+VLOOKUP($L474,Data_Validation!$A:$D,1,0)</f>
        <v>4491@</v>
      </c>
      <c r="U474" s="656" t="str">
        <f>+VLOOKUP($L474,Data_Validation!$A:$D,3,0)</f>
        <v>Service</v>
      </c>
      <c r="V474" s="656" t="str">
        <f>+VLOOKUP($L474,Data_Validation!$A:$D,4,0)</f>
        <v>Sous-traitement</v>
      </c>
      <c r="W474" s="656" t="str">
        <f>+VLOOKUP($L474,Data_Validation!$A:$E,5,0)</f>
        <v>NB</v>
      </c>
      <c r="X474" s="656">
        <f>+VLOOKUP($L474,Data_Validation!$A:$F,6,0)</f>
        <v>0</v>
      </c>
    </row>
    <row r="475" spans="1:24" ht="15.75" customHeight="1">
      <c r="A475" s="1218" t="s">
        <v>1041</v>
      </c>
      <c r="B475" s="1218" t="s">
        <v>1042</v>
      </c>
      <c r="C475" s="1219"/>
      <c r="D475" s="1219"/>
      <c r="E475" s="1219"/>
      <c r="F475" s="1218" t="s">
        <v>7</v>
      </c>
      <c r="G475" s="1218" t="s">
        <v>1040</v>
      </c>
      <c r="H475" s="1218" t="s">
        <v>3950</v>
      </c>
      <c r="I475" s="1220">
        <v>-18</v>
      </c>
      <c r="J475" s="1220">
        <v>-6</v>
      </c>
      <c r="K475" s="1220">
        <v>-24</v>
      </c>
      <c r="L475" s="653" t="str">
        <f t="shared" si="216"/>
        <v>4493@</v>
      </c>
      <c r="M475" s="654" t="str">
        <f t="shared" si="217"/>
        <v># DE VTE - SOUS-TRAITANCE GARANTIE</v>
      </c>
      <c r="N475" s="655">
        <f>+IF(OR($Q475=Parametres!$G$2,$Q475=Parametres!$G$3),I475,C475)</f>
        <v>-18</v>
      </c>
      <c r="O475" s="655">
        <f>+IF(OR($Q475=Parametres!$G$2,$Q475=Parametres!$G$3),J475,D475)</f>
        <v>-6</v>
      </c>
      <c r="P475" s="655">
        <f>+IF(OR($Q475=Parametres!$G$2,$Q475=Parametres!$G$3),K475,E475)</f>
        <v>-24</v>
      </c>
      <c r="Q475" s="654" t="str">
        <f t="shared" si="218"/>
        <v>10-Compte compteur</v>
      </c>
      <c r="R475" s="653" t="str">
        <f t="shared" si="219"/>
        <v>4493</v>
      </c>
      <c r="S475" s="654" t="str">
        <f t="shared" si="220"/>
        <v>_</v>
      </c>
      <c r="T475" s="656" t="str">
        <f>+VLOOKUP($L475,Data_Validation!$A:$D,1,0)</f>
        <v>4493@</v>
      </c>
      <c r="U475" s="656" t="str">
        <f>+VLOOKUP($L475,Data_Validation!$A:$D,3,0)</f>
        <v>Service</v>
      </c>
      <c r="V475" s="656" t="str">
        <f>+VLOOKUP($L475,Data_Validation!$A:$D,4,0)</f>
        <v>Sous-traitement</v>
      </c>
      <c r="W475" s="656" t="str">
        <f>+VLOOKUP($L475,Data_Validation!$A:$E,5,0)</f>
        <v>NB</v>
      </c>
      <c r="X475" s="656">
        <f>+VLOOKUP($L475,Data_Validation!$A:$F,6,0)</f>
        <v>0</v>
      </c>
    </row>
    <row r="476" spans="1:24" ht="15.75" customHeight="1">
      <c r="A476" s="1218" t="s">
        <v>1045</v>
      </c>
      <c r="B476" s="1218" t="s">
        <v>1046</v>
      </c>
      <c r="C476" s="1219"/>
      <c r="D476" s="1219"/>
      <c r="E476" s="1219"/>
      <c r="F476" s="1218" t="s">
        <v>7</v>
      </c>
      <c r="G476" s="1218" t="s">
        <v>1044</v>
      </c>
      <c r="H476" s="1218" t="s">
        <v>3950</v>
      </c>
      <c r="I476" s="1220">
        <v>-350</v>
      </c>
      <c r="J476" s="1220">
        <v>-91</v>
      </c>
      <c r="K476" s="1220">
        <v>-441</v>
      </c>
      <c r="L476" s="653" t="str">
        <f t="shared" si="216"/>
        <v>4495@</v>
      </c>
      <c r="M476" s="654" t="str">
        <f t="shared" si="217"/>
        <v># DE VTE - S-TRAITANCE MEC.INTERNE VW</v>
      </c>
      <c r="N476" s="655">
        <f>+IF(OR($Q476=Parametres!$G$2,$Q476=Parametres!$G$3),I476,C476)</f>
        <v>-350</v>
      </c>
      <c r="O476" s="655">
        <f>+IF(OR($Q476=Parametres!$G$2,$Q476=Parametres!$G$3),J476,D476)</f>
        <v>-91</v>
      </c>
      <c r="P476" s="655">
        <f>+IF(OR($Q476=Parametres!$G$2,$Q476=Parametres!$G$3),K476,E476)</f>
        <v>-441</v>
      </c>
      <c r="Q476" s="654" t="str">
        <f t="shared" si="218"/>
        <v>10-Compte compteur</v>
      </c>
      <c r="R476" s="653" t="str">
        <f t="shared" si="219"/>
        <v>4495</v>
      </c>
      <c r="S476" s="654" t="str">
        <f t="shared" si="220"/>
        <v>_</v>
      </c>
      <c r="T476" s="656" t="str">
        <f>+VLOOKUP($L476,Data_Validation!$A:$D,1,0)</f>
        <v>4495@</v>
      </c>
      <c r="U476" s="656" t="str">
        <f>+VLOOKUP($L476,Data_Validation!$A:$D,3,0)</f>
        <v>Service</v>
      </c>
      <c r="V476" s="656" t="str">
        <f>+VLOOKUP($L476,Data_Validation!$A:$D,4,0)</f>
        <v>Sous-traitement</v>
      </c>
      <c r="W476" s="656" t="str">
        <f>+VLOOKUP($L476,Data_Validation!$A:$E,5,0)</f>
        <v>NB</v>
      </c>
      <c r="X476" s="656">
        <f>+VLOOKUP($L476,Data_Validation!$A:$F,6,0)</f>
        <v>0</v>
      </c>
    </row>
    <row r="477" spans="1:24" ht="15.75" customHeight="1">
      <c r="A477" s="1218" t="s">
        <v>3430</v>
      </c>
      <c r="B477" s="1218" t="s">
        <v>3431</v>
      </c>
      <c r="C477" s="1219"/>
      <c r="D477" s="1219"/>
      <c r="E477" s="1219"/>
      <c r="F477" s="1218" t="s">
        <v>7</v>
      </c>
      <c r="G477" s="1218" t="s">
        <v>3427</v>
      </c>
      <c r="H477" s="1218" t="s">
        <v>3950</v>
      </c>
      <c r="I477" s="1220">
        <v>-273</v>
      </c>
      <c r="J477" s="1220">
        <v>-47</v>
      </c>
      <c r="K477" s="1220">
        <v>-320</v>
      </c>
      <c r="L477" s="653" t="str">
        <f t="shared" si="216"/>
        <v>4505@</v>
      </c>
      <c r="M477" s="654" t="str">
        <f t="shared" si="217"/>
        <v># DE VTE - M.O. INTERNE CARROSSERIE</v>
      </c>
      <c r="N477" s="655">
        <f>+IF(OR($Q477=Parametres!$G$2,$Q477=Parametres!$G$3),I477,C477)</f>
        <v>-273</v>
      </c>
      <c r="O477" s="655">
        <f>+IF(OR($Q477=Parametres!$G$2,$Q477=Parametres!$G$3),J477,D477)</f>
        <v>-47</v>
      </c>
      <c r="P477" s="655">
        <f>+IF(OR($Q477=Parametres!$G$2,$Q477=Parametres!$G$3),K477,E477)</f>
        <v>-320</v>
      </c>
      <c r="Q477" s="654" t="str">
        <f t="shared" si="218"/>
        <v>10-Compte compteur</v>
      </c>
      <c r="R477" s="653" t="str">
        <f t="shared" si="219"/>
        <v>4505</v>
      </c>
      <c r="S477" s="654" t="str">
        <f t="shared" si="220"/>
        <v>_</v>
      </c>
      <c r="T477" s="656" t="str">
        <f>+VLOOKUP($L477,Data_Validation!$A:$D,1,0)</f>
        <v>4505@</v>
      </c>
      <c r="U477" s="656" t="str">
        <f>+VLOOKUP($L477,Data_Validation!$A:$D,3,0)</f>
        <v>Service</v>
      </c>
      <c r="V477" s="656" t="str">
        <f>+VLOOKUP($L477,Data_Validation!$A:$D,4,0)</f>
        <v>M.O. Recond. MCPA</v>
      </c>
      <c r="W477" s="656" t="str">
        <f>+VLOOKUP($L477,Data_Validation!$A:$E,5,0)</f>
        <v>NB</v>
      </c>
      <c r="X477" s="656">
        <f>+VLOOKUP($L477,Data_Validation!$A:$F,6,0)</f>
        <v>0</v>
      </c>
    </row>
    <row r="478" spans="1:24" ht="15.75" customHeight="1">
      <c r="A478" s="1218" t="s">
        <v>1052</v>
      </c>
      <c r="B478" s="1218" t="s">
        <v>1053</v>
      </c>
      <c r="C478" s="1219"/>
      <c r="D478" s="1219"/>
      <c r="E478" s="1219"/>
      <c r="F478" s="1218" t="s">
        <v>7</v>
      </c>
      <c r="G478" s="1218" t="s">
        <v>1051</v>
      </c>
      <c r="H478" s="1218" t="s">
        <v>3950</v>
      </c>
      <c r="I478" s="1220">
        <v>-15</v>
      </c>
      <c r="J478" s="1220">
        <v>-1</v>
      </c>
      <c r="K478" s="1220">
        <v>-16</v>
      </c>
      <c r="L478" s="653" t="str">
        <f t="shared" ref="L478:L486" si="221">TEXT(B478,0)</f>
        <v>4591@</v>
      </c>
      <c r="M478" s="654" t="str">
        <f t="shared" ref="M478:M486" si="222">+A478</f>
        <v>REPARATION SOUS-LOC.-PEINT/DEB</v>
      </c>
      <c r="N478" s="655">
        <f>+IF(OR($Q478=Parametres!$G$2,$Q478=Parametres!$G$3),I478,C478)</f>
        <v>-15</v>
      </c>
      <c r="O478" s="655">
        <f>+IF(OR($Q478=Parametres!$G$2,$Q478=Parametres!$G$3),J478,D478)</f>
        <v>-1</v>
      </c>
      <c r="P478" s="655">
        <f>+IF(OR($Q478=Parametres!$G$2,$Q478=Parametres!$G$3),K478,E478)</f>
        <v>-16</v>
      </c>
      <c r="Q478" s="654" t="str">
        <f t="shared" ref="Q478:Q486" si="223">+F478</f>
        <v>10-Compte compteur</v>
      </c>
      <c r="R478" s="653" t="str">
        <f t="shared" ref="R478:R486" si="224">+G478</f>
        <v>4591</v>
      </c>
      <c r="S478" s="654" t="str">
        <f t="shared" ref="S478:S486" si="225">+H478</f>
        <v>_</v>
      </c>
      <c r="T478" s="656" t="str">
        <f>+VLOOKUP($L478,Data_Validation!$A:$D,1,0)</f>
        <v>4591@</v>
      </c>
      <c r="U478" s="656" t="str">
        <f>+VLOOKUP($L478,Data_Validation!$A:$D,3,0)</f>
        <v>Carrosserie</v>
      </c>
      <c r="V478" s="656" t="str">
        <f>+VLOOKUP($L478,Data_Validation!$A:$D,4,0)</f>
        <v>M/O Sous-traitement</v>
      </c>
      <c r="W478" s="656" t="str">
        <f>+VLOOKUP($L478,Data_Validation!$A:$E,5,0)</f>
        <v>NB</v>
      </c>
      <c r="X478" s="656">
        <f>+VLOOKUP($L478,Data_Validation!$A:$F,6,0)</f>
        <v>0</v>
      </c>
    </row>
    <row r="479" spans="1:24" ht="15.75" customHeight="1">
      <c r="A479" s="1218" t="s">
        <v>1056</v>
      </c>
      <c r="B479" s="1218" t="s">
        <v>1057</v>
      </c>
      <c r="C479" s="1219"/>
      <c r="D479" s="1219"/>
      <c r="E479" s="1219"/>
      <c r="F479" s="1218" t="s">
        <v>7</v>
      </c>
      <c r="G479" s="1218" t="s">
        <v>1055</v>
      </c>
      <c r="H479" s="1218" t="s">
        <v>3950</v>
      </c>
      <c r="I479" s="1220">
        <v>-30</v>
      </c>
      <c r="J479" s="1220">
        <v>-13</v>
      </c>
      <c r="K479" s="1220">
        <v>-43</v>
      </c>
      <c r="L479" s="653" t="str">
        <f t="shared" si="221"/>
        <v>4593@</v>
      </c>
      <c r="M479" s="654" t="str">
        <f t="shared" si="222"/>
        <v># DE VTE - S-TRAITANCE GAR.CARR.</v>
      </c>
      <c r="N479" s="655">
        <f>+IF(OR($Q479=Parametres!$G$2,$Q479=Parametres!$G$3),I479,C479)</f>
        <v>-30</v>
      </c>
      <c r="O479" s="655">
        <f>+IF(OR($Q479=Parametres!$G$2,$Q479=Parametres!$G$3),J479,D479)</f>
        <v>-13</v>
      </c>
      <c r="P479" s="655">
        <f>+IF(OR($Q479=Parametres!$G$2,$Q479=Parametres!$G$3),K479,E479)</f>
        <v>-43</v>
      </c>
      <c r="Q479" s="654" t="str">
        <f t="shared" si="223"/>
        <v>10-Compte compteur</v>
      </c>
      <c r="R479" s="653" t="str">
        <f t="shared" si="224"/>
        <v>4593</v>
      </c>
      <c r="S479" s="654" t="str">
        <f t="shared" si="225"/>
        <v>_</v>
      </c>
      <c r="T479" s="656" t="str">
        <f>+VLOOKUP($L479,Data_Validation!$A:$D,1,0)</f>
        <v>4593@</v>
      </c>
      <c r="U479" s="656" t="str">
        <f>+VLOOKUP($L479,Data_Validation!$A:$D,3,0)</f>
        <v>Carrosserie</v>
      </c>
      <c r="V479" s="656" t="str">
        <f>+VLOOKUP($L479,Data_Validation!$A:$D,4,0)</f>
        <v>M/O Sous-traitement</v>
      </c>
      <c r="W479" s="656" t="str">
        <f>+VLOOKUP($L479,Data_Validation!$A:$E,5,0)</f>
        <v>NB</v>
      </c>
      <c r="X479" s="656">
        <f>+VLOOKUP($L479,Data_Validation!$A:$F,6,0)</f>
        <v>0</v>
      </c>
    </row>
    <row r="480" spans="1:24" ht="15.75" customHeight="1">
      <c r="A480" s="1218" t="s">
        <v>1060</v>
      </c>
      <c r="B480" s="1218" t="s">
        <v>1061</v>
      </c>
      <c r="C480" s="1219"/>
      <c r="D480" s="1219"/>
      <c r="E480" s="1219"/>
      <c r="F480" s="1218" t="s">
        <v>7</v>
      </c>
      <c r="G480" s="1218" t="s">
        <v>1059</v>
      </c>
      <c r="H480" s="1218" t="s">
        <v>3950</v>
      </c>
      <c r="I480" s="1220">
        <v>-4</v>
      </c>
      <c r="J480" s="1220">
        <v>0</v>
      </c>
      <c r="K480" s="1220">
        <v>-4</v>
      </c>
      <c r="L480" s="653" t="str">
        <f t="shared" si="221"/>
        <v>4595@</v>
      </c>
      <c r="M480" s="654" t="str">
        <f t="shared" si="222"/>
        <v># DE VTE - S-TRAIT.INTERNE CARR.</v>
      </c>
      <c r="N480" s="655">
        <f>+IF(OR($Q480=Parametres!$G$2,$Q480=Parametres!$G$3),I480,C480)</f>
        <v>-4</v>
      </c>
      <c r="O480" s="655">
        <f>+IF(OR($Q480=Parametres!$G$2,$Q480=Parametres!$G$3),J480,D480)</f>
        <v>0</v>
      </c>
      <c r="P480" s="655">
        <f>+IF(OR($Q480=Parametres!$G$2,$Q480=Parametres!$G$3),K480,E480)</f>
        <v>-4</v>
      </c>
      <c r="Q480" s="654" t="str">
        <f t="shared" si="223"/>
        <v>10-Compte compteur</v>
      </c>
      <c r="R480" s="653" t="str">
        <f t="shared" si="224"/>
        <v>4595</v>
      </c>
      <c r="S480" s="654" t="str">
        <f t="shared" si="225"/>
        <v>_</v>
      </c>
      <c r="T480" s="656" t="str">
        <f>+VLOOKUP($L480,Data_Validation!$A:$D,1,0)</f>
        <v>4595@</v>
      </c>
      <c r="U480" s="656" t="str">
        <f>+VLOOKUP($L480,Data_Validation!$A:$D,3,0)</f>
        <v>Carrosserie</v>
      </c>
      <c r="V480" s="656" t="str">
        <f>+VLOOKUP($L480,Data_Validation!$A:$D,4,0)</f>
        <v>M/O Sous-traitement</v>
      </c>
      <c r="W480" s="656" t="str">
        <f>+VLOOKUP($L480,Data_Validation!$A:$E,5,0)</f>
        <v>NB</v>
      </c>
      <c r="X480" s="656">
        <f>+VLOOKUP($L480,Data_Validation!$A:$F,6,0)</f>
        <v>0</v>
      </c>
    </row>
    <row r="481" spans="1:24" ht="15.75" customHeight="1">
      <c r="A481" s="1218" t="s">
        <v>3674</v>
      </c>
      <c r="B481" s="1218" t="s">
        <v>1065</v>
      </c>
      <c r="C481" s="1219"/>
      <c r="D481" s="1219"/>
      <c r="E481" s="1219"/>
      <c r="F481" s="1218" t="s">
        <v>7</v>
      </c>
      <c r="G481" s="1218" t="s">
        <v>1063</v>
      </c>
      <c r="H481" s="1218" t="s">
        <v>3950</v>
      </c>
      <c r="I481" s="1220">
        <v>-2730</v>
      </c>
      <c r="J481" s="1220">
        <v>-399</v>
      </c>
      <c r="K481" s="1220">
        <v>-3129</v>
      </c>
      <c r="L481" s="653" t="str">
        <f t="shared" si="221"/>
        <v>4701@</v>
      </c>
      <c r="M481" s="654" t="str">
        <f t="shared" si="222"/>
        <v>VW P&amp;A - BR - CLIENT - MCI</v>
      </c>
      <c r="N481" s="655">
        <f>+IF(OR($Q481=Parametres!$G$2,$Q481=Parametres!$G$3),I481,C481)</f>
        <v>-2730</v>
      </c>
      <c r="O481" s="655">
        <f>+IF(OR($Q481=Parametres!$G$2,$Q481=Parametres!$G$3),J481,D481)</f>
        <v>-399</v>
      </c>
      <c r="P481" s="655">
        <f>+IF(OR($Q481=Parametres!$G$2,$Q481=Parametres!$G$3),K481,E481)</f>
        <v>-3129</v>
      </c>
      <c r="Q481" s="654" t="str">
        <f t="shared" si="223"/>
        <v>10-Compte compteur</v>
      </c>
      <c r="R481" s="653" t="str">
        <f t="shared" si="224"/>
        <v>4701</v>
      </c>
      <c r="S481" s="654" t="str">
        <f t="shared" si="225"/>
        <v>_</v>
      </c>
      <c r="T481" s="656" t="str">
        <f>+VLOOKUP($L481,Data_Validation!$A:$D,1,0)</f>
        <v>4701@</v>
      </c>
      <c r="U481" s="656" t="str">
        <f>+VLOOKUP($L481,Data_Validation!$A:$D,3,0)</f>
        <v>Pièces</v>
      </c>
      <c r="V481" s="656" t="str">
        <f>+VLOOKUP($L481,Data_Validation!$A:$D,4,0)</f>
        <v>Pièces Ro Clients</v>
      </c>
      <c r="W481" s="656" t="str">
        <f>+VLOOKUP($L481,Data_Validation!$A:$E,5,0)</f>
        <v>NB</v>
      </c>
      <c r="X481" s="656">
        <f>+VLOOKUP($L481,Data_Validation!$A:$F,6,0)</f>
        <v>0</v>
      </c>
    </row>
    <row r="482" spans="1:24" ht="15.75" customHeight="1">
      <c r="A482" s="1218" t="s">
        <v>3675</v>
      </c>
      <c r="B482" s="1218" t="s">
        <v>1071</v>
      </c>
      <c r="C482" s="1219"/>
      <c r="D482" s="1219"/>
      <c r="E482" s="1219"/>
      <c r="F482" s="1218" t="s">
        <v>7</v>
      </c>
      <c r="G482" s="1218" t="s">
        <v>1069</v>
      </c>
      <c r="H482" s="1218" t="s">
        <v>3950</v>
      </c>
      <c r="I482" s="1220">
        <v>-1164</v>
      </c>
      <c r="J482" s="1220">
        <v>-156</v>
      </c>
      <c r="K482" s="1220">
        <v>-1320</v>
      </c>
      <c r="L482" s="653" t="str">
        <f t="shared" si="221"/>
        <v>4703@</v>
      </c>
      <c r="M482" s="654" t="str">
        <f t="shared" si="222"/>
        <v>VW P&amp;A - BR - GARANTIE - MCI</v>
      </c>
      <c r="N482" s="655">
        <f>+IF(OR($Q482=Parametres!$G$2,$Q482=Parametres!$G$3),I482,C482)</f>
        <v>-1164</v>
      </c>
      <c r="O482" s="655">
        <f>+IF(OR($Q482=Parametres!$G$2,$Q482=Parametres!$G$3),J482,D482)</f>
        <v>-156</v>
      </c>
      <c r="P482" s="655">
        <f>+IF(OR($Q482=Parametres!$G$2,$Q482=Parametres!$G$3),K482,E482)</f>
        <v>-1320</v>
      </c>
      <c r="Q482" s="654" t="str">
        <f t="shared" si="223"/>
        <v>10-Compte compteur</v>
      </c>
      <c r="R482" s="653" t="str">
        <f t="shared" si="224"/>
        <v>4703</v>
      </c>
      <c r="S482" s="654" t="str">
        <f t="shared" si="225"/>
        <v>_</v>
      </c>
      <c r="T482" s="656" t="str">
        <f>+VLOOKUP($L482,Data_Validation!$A:$D,1,0)</f>
        <v>4703@</v>
      </c>
      <c r="U482" s="656" t="str">
        <f>+VLOOKUP($L482,Data_Validation!$A:$D,3,0)</f>
        <v>Pièces</v>
      </c>
      <c r="V482" s="656" t="str">
        <f>+VLOOKUP($L482,Data_Validation!$A:$D,4,0)</f>
        <v>P/A Garantie</v>
      </c>
      <c r="W482" s="656" t="str">
        <f>+VLOOKUP($L482,Data_Validation!$A:$E,5,0)</f>
        <v>NB</v>
      </c>
      <c r="X482" s="656">
        <f>+VLOOKUP($L482,Data_Validation!$A:$F,6,0)</f>
        <v>0</v>
      </c>
    </row>
    <row r="483" spans="1:24" ht="15.75" customHeight="1">
      <c r="A483" s="1218" t="s">
        <v>3676</v>
      </c>
      <c r="B483" s="1218" t="s">
        <v>1075</v>
      </c>
      <c r="C483" s="1219"/>
      <c r="D483" s="1219"/>
      <c r="E483" s="1219"/>
      <c r="F483" s="1218" t="s">
        <v>7</v>
      </c>
      <c r="G483" s="1218" t="s">
        <v>1073</v>
      </c>
      <c r="H483" s="1218" t="s">
        <v>3950</v>
      </c>
      <c r="I483" s="1220">
        <v>-1425</v>
      </c>
      <c r="J483" s="1220">
        <v>-273</v>
      </c>
      <c r="K483" s="1220">
        <v>-1698</v>
      </c>
      <c r="L483" s="653" t="str">
        <f t="shared" si="221"/>
        <v>4705@</v>
      </c>
      <c r="M483" s="654" t="str">
        <f t="shared" si="222"/>
        <v>VW P&amp;A - BR - INTERNE - MCI</v>
      </c>
      <c r="N483" s="655">
        <f>+IF(OR($Q483=Parametres!$G$2,$Q483=Parametres!$G$3),I483,C483)</f>
        <v>-1425</v>
      </c>
      <c r="O483" s="655">
        <f>+IF(OR($Q483=Parametres!$G$2,$Q483=Parametres!$G$3),J483,D483)</f>
        <v>-273</v>
      </c>
      <c r="P483" s="655">
        <f>+IF(OR($Q483=Parametres!$G$2,$Q483=Parametres!$G$3),K483,E483)</f>
        <v>-1698</v>
      </c>
      <c r="Q483" s="654" t="str">
        <f t="shared" si="223"/>
        <v>10-Compte compteur</v>
      </c>
      <c r="R483" s="653" t="str">
        <f t="shared" si="224"/>
        <v>4705</v>
      </c>
      <c r="S483" s="654" t="str">
        <f t="shared" si="225"/>
        <v>_</v>
      </c>
      <c r="T483" s="656" t="str">
        <f>+VLOOKUP($L483,Data_Validation!$A:$D,1,0)</f>
        <v>4705@</v>
      </c>
      <c r="U483" s="656" t="str">
        <f>+VLOOKUP($L483,Data_Validation!$A:$D,3,0)</f>
        <v>Pièces</v>
      </c>
      <c r="V483" s="656" t="str">
        <f>+VLOOKUP($L483,Data_Validation!$A:$D,4,0)</f>
        <v>Ventes Internes</v>
      </c>
      <c r="W483" s="656" t="str">
        <f>+VLOOKUP($L483,Data_Validation!$A:$E,5,0)</f>
        <v>NB</v>
      </c>
      <c r="X483" s="656">
        <f>+VLOOKUP($L483,Data_Validation!$A:$F,6,0)</f>
        <v>0</v>
      </c>
    </row>
    <row r="484" spans="1:24" ht="15.75" customHeight="1">
      <c r="A484" s="1218" t="s">
        <v>1079</v>
      </c>
      <c r="B484" s="1218" t="s">
        <v>1080</v>
      </c>
      <c r="C484" s="1219"/>
      <c r="D484" s="1219"/>
      <c r="E484" s="1219"/>
      <c r="F484" s="1218" t="s">
        <v>7</v>
      </c>
      <c r="G484" s="1218" t="s">
        <v>1078</v>
      </c>
      <c r="H484" s="1218" t="s">
        <v>3950</v>
      </c>
      <c r="I484" s="1220">
        <v>-1349</v>
      </c>
      <c r="J484" s="1220">
        <v>-217</v>
      </c>
      <c r="K484" s="1220">
        <v>-1566</v>
      </c>
      <c r="L484" s="653" t="str">
        <f t="shared" si="221"/>
        <v>4711@</v>
      </c>
      <c r="M484" s="654" t="str">
        <f t="shared" si="222"/>
        <v># DE VTE - P&amp;A B.T. CLIENT AUDI</v>
      </c>
      <c r="N484" s="655">
        <f>+IF(OR($Q484=Parametres!$G$2,$Q484=Parametres!$G$3),I484,C484)</f>
        <v>-1349</v>
      </c>
      <c r="O484" s="655">
        <f>+IF(OR($Q484=Parametres!$G$2,$Q484=Parametres!$G$3),J484,D484)</f>
        <v>-217</v>
      </c>
      <c r="P484" s="655">
        <f>+IF(OR($Q484=Parametres!$G$2,$Q484=Parametres!$G$3),K484,E484)</f>
        <v>-1566</v>
      </c>
      <c r="Q484" s="654" t="str">
        <f t="shared" si="223"/>
        <v>10-Compte compteur</v>
      </c>
      <c r="R484" s="653" t="str">
        <f t="shared" si="224"/>
        <v>84711</v>
      </c>
      <c r="S484" s="654" t="str">
        <f t="shared" si="225"/>
        <v>_</v>
      </c>
      <c r="T484" s="656" t="str">
        <f>+VLOOKUP($L484,Data_Validation!$A:$D,1,0)</f>
        <v>4711@</v>
      </c>
      <c r="U484" s="656" t="str">
        <f>+VLOOKUP($L484,Data_Validation!$A:$D,3,0)</f>
        <v>Pièces</v>
      </c>
      <c r="V484" s="656" t="str">
        <f>+VLOOKUP($L484,Data_Validation!$A:$D,4,0)</f>
        <v>Pièces Ro Clients</v>
      </c>
      <c r="W484" s="656" t="str">
        <f>+VLOOKUP($L484,Data_Validation!$A:$E,5,0)</f>
        <v>NB</v>
      </c>
      <c r="X484" s="656">
        <f>+VLOOKUP($L484,Data_Validation!$A:$F,6,0)</f>
        <v>0</v>
      </c>
    </row>
    <row r="485" spans="1:24" ht="15.75" customHeight="1">
      <c r="A485" s="1218" t="s">
        <v>1087</v>
      </c>
      <c r="B485" s="1218" t="s">
        <v>1088</v>
      </c>
      <c r="C485" s="1219"/>
      <c r="D485" s="1219"/>
      <c r="E485" s="1219"/>
      <c r="F485" s="1218" t="s">
        <v>7</v>
      </c>
      <c r="G485" s="1218" t="s">
        <v>1086</v>
      </c>
      <c r="H485" s="1218" t="s">
        <v>3950</v>
      </c>
      <c r="I485" s="1220">
        <v>-1</v>
      </c>
      <c r="J485" s="1220">
        <v>0</v>
      </c>
      <c r="K485" s="1220">
        <v>-1</v>
      </c>
      <c r="L485" s="653" t="str">
        <f t="shared" si="221"/>
        <v>4731@</v>
      </c>
      <c r="M485" s="654" t="str">
        <f t="shared" si="222"/>
        <v>PIECES-BON REPAR. PEINT/DEBOS</v>
      </c>
      <c r="N485" s="655">
        <f>+IF(OR($Q485=Parametres!$G$2,$Q485=Parametres!$G$3),I485,C485)</f>
        <v>-1</v>
      </c>
      <c r="O485" s="655">
        <f>+IF(OR($Q485=Parametres!$G$2,$Q485=Parametres!$G$3),J485,D485)</f>
        <v>0</v>
      </c>
      <c r="P485" s="655">
        <f>+IF(OR($Q485=Parametres!$G$2,$Q485=Parametres!$G$3),K485,E485)</f>
        <v>-1</v>
      </c>
      <c r="Q485" s="654" t="str">
        <f t="shared" si="223"/>
        <v>10-Compte compteur</v>
      </c>
      <c r="R485" s="653" t="str">
        <f t="shared" si="224"/>
        <v>4731</v>
      </c>
      <c r="S485" s="654" t="str">
        <f t="shared" si="225"/>
        <v>_</v>
      </c>
      <c r="T485" s="656" t="str">
        <f>+VLOOKUP($L485,Data_Validation!$A:$D,1,0)</f>
        <v>4731@</v>
      </c>
      <c r="U485" s="656" t="str">
        <f>+VLOOKUP($L485,Data_Validation!$A:$D,3,0)</f>
        <v>Pièces</v>
      </c>
      <c r="V485" s="656" t="str">
        <f>+VLOOKUP($L485,Data_Validation!$A:$D,4,0)</f>
        <v>Pièces Ro Carrosserie</v>
      </c>
      <c r="W485" s="656" t="str">
        <f>+VLOOKUP($L485,Data_Validation!$A:$E,5,0)</f>
        <v>NB</v>
      </c>
      <c r="X485" s="656">
        <f>+VLOOKUP($L485,Data_Validation!$A:$F,6,0)</f>
        <v>0</v>
      </c>
    </row>
    <row r="486" spans="1:24" ht="15.75" customHeight="1">
      <c r="A486" s="1218" t="s">
        <v>1091</v>
      </c>
      <c r="B486" s="1218" t="s">
        <v>1092</v>
      </c>
      <c r="C486" s="1219"/>
      <c r="D486" s="1219"/>
      <c r="E486" s="1219"/>
      <c r="F486" s="1218" t="s">
        <v>7</v>
      </c>
      <c r="G486" s="1218" t="s">
        <v>1090</v>
      </c>
      <c r="H486" s="1218" t="s">
        <v>3950</v>
      </c>
      <c r="I486" s="1220">
        <v>-22</v>
      </c>
      <c r="J486" s="1220">
        <v>-10</v>
      </c>
      <c r="K486" s="1220">
        <v>-32</v>
      </c>
      <c r="L486" s="653" t="str">
        <f t="shared" si="221"/>
        <v>4733@</v>
      </c>
      <c r="M486" s="654" t="str">
        <f t="shared" si="222"/>
        <v># DE VTE - P&amp;A B.T. GARANTIE CARR.</v>
      </c>
      <c r="N486" s="655">
        <f>+IF(OR($Q486=Parametres!$G$2,$Q486=Parametres!$G$3),I486,C486)</f>
        <v>-22</v>
      </c>
      <c r="O486" s="655">
        <f>+IF(OR($Q486=Parametres!$G$2,$Q486=Parametres!$G$3),J486,D486)</f>
        <v>-10</v>
      </c>
      <c r="P486" s="655">
        <f>+IF(OR($Q486=Parametres!$G$2,$Q486=Parametres!$G$3),K486,E486)</f>
        <v>-32</v>
      </c>
      <c r="Q486" s="654" t="str">
        <f t="shared" si="223"/>
        <v>10-Compte compteur</v>
      </c>
      <c r="R486" s="653" t="str">
        <f t="shared" si="224"/>
        <v>4733</v>
      </c>
      <c r="S486" s="654" t="str">
        <f t="shared" si="225"/>
        <v>_</v>
      </c>
      <c r="T486" s="656" t="str">
        <f>+VLOOKUP($L486,Data_Validation!$A:$D,1,0)</f>
        <v>4733@</v>
      </c>
      <c r="U486" s="656" t="str">
        <f>+VLOOKUP($L486,Data_Validation!$A:$D,3,0)</f>
        <v>Pièces</v>
      </c>
      <c r="V486" s="656" t="str">
        <f>+VLOOKUP($L486,Data_Validation!$A:$D,4,0)</f>
        <v>Pièces Ro Carrosserie</v>
      </c>
      <c r="W486" s="656" t="str">
        <f>+VLOOKUP($L486,Data_Validation!$A:$E,5,0)</f>
        <v>NB</v>
      </c>
      <c r="X486" s="656">
        <f>+VLOOKUP($L486,Data_Validation!$A:$F,6,0)</f>
        <v>0</v>
      </c>
    </row>
    <row r="487" spans="1:24" ht="15.75" customHeight="1">
      <c r="A487" s="1218" t="s">
        <v>1095</v>
      </c>
      <c r="B487" s="1218" t="s">
        <v>1096</v>
      </c>
      <c r="C487" s="1219"/>
      <c r="D487" s="1219"/>
      <c r="E487" s="1219"/>
      <c r="F487" s="1218" t="s">
        <v>7</v>
      </c>
      <c r="G487" s="1218" t="s">
        <v>1094</v>
      </c>
      <c r="H487" s="1218" t="s">
        <v>3950</v>
      </c>
      <c r="I487" s="1220">
        <v>-18</v>
      </c>
      <c r="J487" s="1220">
        <v>0</v>
      </c>
      <c r="K487" s="1220">
        <v>-18</v>
      </c>
      <c r="L487" s="653" t="str">
        <f t="shared" ref="L487" si="226">TEXT(B487,0)</f>
        <v>4735@</v>
      </c>
      <c r="M487" s="654" t="str">
        <f t="shared" ref="M487" si="227">+A487</f>
        <v># DE VTE - P&amp;A B.T. INTERNE CARROS.</v>
      </c>
      <c r="N487" s="655">
        <f>+IF(OR($Q487=Parametres!$G$2,$Q487=Parametres!$G$3),I487,C487)</f>
        <v>-18</v>
      </c>
      <c r="O487" s="655">
        <f>+IF(OR($Q487=Parametres!$G$2,$Q487=Parametres!$G$3),J487,D487)</f>
        <v>0</v>
      </c>
      <c r="P487" s="655">
        <f>+IF(OR($Q487=Parametres!$G$2,$Q487=Parametres!$G$3),K487,E487)</f>
        <v>-18</v>
      </c>
      <c r="Q487" s="654" t="str">
        <f t="shared" ref="Q487" si="228">+F487</f>
        <v>10-Compte compteur</v>
      </c>
      <c r="R487" s="653" t="str">
        <f t="shared" ref="R487" si="229">+G487</f>
        <v>4735</v>
      </c>
      <c r="S487" s="654" t="str">
        <f t="shared" ref="S487" si="230">+H487</f>
        <v>_</v>
      </c>
      <c r="T487" s="656" t="str">
        <f>+VLOOKUP($L487,Data_Validation!$A:$D,1,0)</f>
        <v>4735@</v>
      </c>
      <c r="U487" s="656" t="str">
        <f>+VLOOKUP($L487,Data_Validation!$A:$D,3,0)</f>
        <v>Pièces</v>
      </c>
      <c r="V487" s="656" t="str">
        <f>+VLOOKUP($L487,Data_Validation!$A:$D,4,0)</f>
        <v>Pièces Ro Carrosserie</v>
      </c>
      <c r="W487" s="656" t="str">
        <f>+VLOOKUP($L487,Data_Validation!$A:$E,5,0)</f>
        <v>NB</v>
      </c>
      <c r="X487" s="656">
        <f>+VLOOKUP($L487,Data_Validation!$A:$F,6,0)</f>
        <v>0</v>
      </c>
    </row>
    <row r="488" spans="1:24" ht="15.75" customHeight="1">
      <c r="A488" s="1218" t="s">
        <v>1099</v>
      </c>
      <c r="B488" s="1218" t="s">
        <v>1100</v>
      </c>
      <c r="C488" s="1219"/>
      <c r="D488" s="1219"/>
      <c r="E488" s="1219"/>
      <c r="F488" s="1218" t="s">
        <v>7</v>
      </c>
      <c r="G488" s="1218" t="s">
        <v>1098</v>
      </c>
      <c r="H488" s="1218" t="s">
        <v>3950</v>
      </c>
      <c r="I488" s="1220">
        <v>-835</v>
      </c>
      <c r="J488" s="1220">
        <v>-138</v>
      </c>
      <c r="K488" s="1220">
        <v>-973</v>
      </c>
      <c r="L488" s="653" t="str">
        <f t="shared" ref="L488:L495" si="231">TEXT(B488,0)</f>
        <v>4761@</v>
      </c>
      <c r="M488" s="654" t="str">
        <f t="shared" ref="M488:M495" si="232">+A488</f>
        <v>PIECES-COMPTOIR-DETAIL</v>
      </c>
      <c r="N488" s="655">
        <f>+IF(OR($Q488=Parametres!$G$2,$Q488=Parametres!$G$3),I488,C488)</f>
        <v>-835</v>
      </c>
      <c r="O488" s="655">
        <f>+IF(OR($Q488=Parametres!$G$2,$Q488=Parametres!$G$3),J488,D488)</f>
        <v>-138</v>
      </c>
      <c r="P488" s="655">
        <f>+IF(OR($Q488=Parametres!$G$2,$Q488=Parametres!$G$3),K488,E488)</f>
        <v>-973</v>
      </c>
      <c r="Q488" s="654" t="str">
        <f t="shared" ref="Q488:Q495" si="233">+F488</f>
        <v>10-Compte compteur</v>
      </c>
      <c r="R488" s="653" t="str">
        <f t="shared" ref="R488:R495" si="234">+G488</f>
        <v>4761</v>
      </c>
      <c r="S488" s="654" t="str">
        <f t="shared" ref="S488:S495" si="235">+H488</f>
        <v>_</v>
      </c>
      <c r="T488" s="656" t="str">
        <f>+VLOOKUP($L488,Data_Validation!$A:$D,1,0)</f>
        <v>4761@</v>
      </c>
      <c r="U488" s="656" t="str">
        <f>+VLOOKUP($L488,Data_Validation!$A:$D,3,0)</f>
        <v>Pièces</v>
      </c>
      <c r="V488" s="656" t="str">
        <f>+VLOOKUP($L488,Data_Validation!$A:$D,4,0)</f>
        <v>Ventes Détails</v>
      </c>
      <c r="W488" s="656" t="str">
        <f>+VLOOKUP($L488,Data_Validation!$A:$E,5,0)</f>
        <v>NB</v>
      </c>
      <c r="X488" s="656">
        <f>+VLOOKUP($L488,Data_Validation!$A:$F,6,0)</f>
        <v>0</v>
      </c>
    </row>
    <row r="489" spans="1:24" ht="15.75" customHeight="1">
      <c r="A489" s="1218" t="s">
        <v>1103</v>
      </c>
      <c r="B489" s="1218" t="s">
        <v>1104</v>
      </c>
      <c r="C489" s="1219"/>
      <c r="D489" s="1219"/>
      <c r="E489" s="1219"/>
      <c r="F489" s="1218" t="s">
        <v>7</v>
      </c>
      <c r="G489" s="1218" t="s">
        <v>1102</v>
      </c>
      <c r="H489" s="1218" t="s">
        <v>3950</v>
      </c>
      <c r="I489" s="1220">
        <v>-2530</v>
      </c>
      <c r="J489" s="1220">
        <v>-444</v>
      </c>
      <c r="K489" s="1220">
        <v>-2974</v>
      </c>
      <c r="L489" s="653" t="str">
        <f t="shared" si="231"/>
        <v>4763@</v>
      </c>
      <c r="M489" s="654" t="str">
        <f t="shared" si="232"/>
        <v>PIECES-COMPTOIR-COMM. GROS</v>
      </c>
      <c r="N489" s="655">
        <f>+IF(OR($Q489=Parametres!$G$2,$Q489=Parametres!$G$3),I489,C489)</f>
        <v>-2530</v>
      </c>
      <c r="O489" s="655">
        <f>+IF(OR($Q489=Parametres!$G$2,$Q489=Parametres!$G$3),J489,D489)</f>
        <v>-444</v>
      </c>
      <c r="P489" s="655">
        <f>+IF(OR($Q489=Parametres!$G$2,$Q489=Parametres!$G$3),K489,E489)</f>
        <v>-2974</v>
      </c>
      <c r="Q489" s="654" t="str">
        <f t="shared" si="233"/>
        <v>10-Compte compteur</v>
      </c>
      <c r="R489" s="653" t="str">
        <f t="shared" si="234"/>
        <v>4763</v>
      </c>
      <c r="S489" s="654" t="str">
        <f t="shared" si="235"/>
        <v>_</v>
      </c>
      <c r="T489" s="656" t="str">
        <f>+VLOOKUP($L489,Data_Validation!$A:$D,1,0)</f>
        <v>4763@</v>
      </c>
      <c r="U489" s="656" t="str">
        <f>+VLOOKUP($L489,Data_Validation!$A:$D,3,0)</f>
        <v>Pièces</v>
      </c>
      <c r="V489" s="656" t="str">
        <f>+VLOOKUP($L489,Data_Validation!$A:$D,4,0)</f>
        <v>Ventes de Gros</v>
      </c>
      <c r="W489" s="656" t="str">
        <f>+VLOOKUP($L489,Data_Validation!$A:$E,5,0)</f>
        <v>NB</v>
      </c>
      <c r="X489" s="656">
        <f>+VLOOKUP($L489,Data_Validation!$A:$F,6,0)</f>
        <v>0</v>
      </c>
    </row>
    <row r="490" spans="1:24" ht="15.75" customHeight="1">
      <c r="A490" s="1218" t="s">
        <v>1105</v>
      </c>
      <c r="B490" s="1218" t="s">
        <v>1107</v>
      </c>
      <c r="C490" s="1219"/>
      <c r="D490" s="1219"/>
      <c r="E490" s="1219"/>
      <c r="F490" s="1218" t="s">
        <v>7</v>
      </c>
      <c r="G490" s="1218" t="s">
        <v>1106</v>
      </c>
      <c r="H490" s="1218" t="s">
        <v>3950</v>
      </c>
      <c r="I490" s="1220">
        <v>-257</v>
      </c>
      <c r="J490" s="1220">
        <v>-36</v>
      </c>
      <c r="K490" s="1220">
        <v>-293</v>
      </c>
      <c r="L490" s="653" t="str">
        <f t="shared" si="231"/>
        <v>4781@</v>
      </c>
      <c r="M490" s="654" t="str">
        <f t="shared" si="232"/>
        <v>VENTES PNEUS</v>
      </c>
      <c r="N490" s="655">
        <f>+IF(OR($Q490=Parametres!$G$2,$Q490=Parametres!$G$3),I490,C490)</f>
        <v>-257</v>
      </c>
      <c r="O490" s="655">
        <f>+IF(OR($Q490=Parametres!$G$2,$Q490=Parametres!$G$3),J490,D490)</f>
        <v>-36</v>
      </c>
      <c r="P490" s="655">
        <f>+IF(OR($Q490=Parametres!$G$2,$Q490=Parametres!$G$3),K490,E490)</f>
        <v>-293</v>
      </c>
      <c r="Q490" s="654" t="str">
        <f t="shared" si="233"/>
        <v>10-Compte compteur</v>
      </c>
      <c r="R490" s="653" t="str">
        <f t="shared" si="234"/>
        <v>4781</v>
      </c>
      <c r="S490" s="654" t="str">
        <f t="shared" si="235"/>
        <v>_</v>
      </c>
      <c r="T490" s="656" t="str">
        <f>+VLOOKUP($L490,Data_Validation!$A:$D,1,0)</f>
        <v>4781@</v>
      </c>
      <c r="U490" s="656" t="str">
        <f>+VLOOKUP($L490,Data_Validation!$A:$D,3,0)</f>
        <v>Pièces</v>
      </c>
      <c r="V490" s="656" t="str">
        <f>+VLOOKUP($L490,Data_Validation!$A:$D,4,0)</f>
        <v>Ventes Pneus</v>
      </c>
      <c r="W490" s="656" t="str">
        <f>+VLOOKUP($L490,Data_Validation!$A:$E,5,0)</f>
        <v>NB</v>
      </c>
      <c r="X490" s="656">
        <f>+VLOOKUP($L490,Data_Validation!$A:$F,6,0)</f>
        <v>0</v>
      </c>
    </row>
    <row r="491" spans="1:24" ht="15.75" customHeight="1">
      <c r="A491" s="1218" t="s">
        <v>1294</v>
      </c>
      <c r="B491" s="1218" t="s">
        <v>1296</v>
      </c>
      <c r="C491" s="1219"/>
      <c r="D491" s="1219"/>
      <c r="E491" s="1219"/>
      <c r="F491" s="1218" t="s">
        <v>7</v>
      </c>
      <c r="G491" s="1218" t="s">
        <v>1295</v>
      </c>
      <c r="H491" s="1218" t="s">
        <v>3950</v>
      </c>
      <c r="I491" s="1220">
        <v>-66</v>
      </c>
      <c r="J491" s="1220">
        <v>-7</v>
      </c>
      <c r="K491" s="1220">
        <v>-73</v>
      </c>
      <c r="L491" s="653" t="str">
        <f t="shared" si="231"/>
        <v>9163@</v>
      </c>
      <c r="M491" s="654" t="str">
        <f t="shared" si="232"/>
        <v>RESERVE FIN ET ASS VEH OCCASION</v>
      </c>
      <c r="N491" s="655">
        <f>+IF(OR($Q491=Parametres!$G$2,$Q491=Parametres!$G$3),I491,C491)</f>
        <v>-66</v>
      </c>
      <c r="O491" s="655">
        <f>+IF(OR($Q491=Parametres!$G$2,$Q491=Parametres!$G$3),J491,D491)</f>
        <v>-7</v>
      </c>
      <c r="P491" s="655">
        <f>+IF(OR($Q491=Parametres!$G$2,$Q491=Parametres!$G$3),K491,E491)</f>
        <v>-73</v>
      </c>
      <c r="Q491" s="654" t="str">
        <f t="shared" si="233"/>
        <v>10-Compte compteur</v>
      </c>
      <c r="R491" s="653" t="str">
        <f t="shared" si="234"/>
        <v>9163</v>
      </c>
      <c r="S491" s="654" t="str">
        <f t="shared" si="235"/>
        <v>_</v>
      </c>
      <c r="T491" s="656" t="str">
        <f>+VLOOKUP($L491,Data_Validation!$A:$D,1,0)</f>
        <v>9163@</v>
      </c>
      <c r="U491" s="656" t="str">
        <f>+VLOOKUP($L491,Data_Validation!$A:$D,3,0)</f>
        <v>Véhicules usagés</v>
      </c>
      <c r="V491" s="656">
        <f>+VLOOKUP($L491,Data_Validation!$A:$D,4,0)</f>
        <v>0</v>
      </c>
      <c r="W491" s="656" t="str">
        <f>+VLOOKUP($L491,Data_Validation!$A:$E,5,0)</f>
        <v>NB</v>
      </c>
      <c r="X491" s="656">
        <f>+VLOOKUP($L491,Data_Validation!$A:$F,6,0)</f>
        <v>0</v>
      </c>
    </row>
    <row r="492" spans="1:24" ht="15.75" customHeight="1">
      <c r="A492" s="1218" t="s">
        <v>3347</v>
      </c>
      <c r="B492" s="1218" t="s">
        <v>3348</v>
      </c>
      <c r="C492" s="1219"/>
      <c r="D492" s="1219"/>
      <c r="E492" s="1219"/>
      <c r="F492" s="1218" t="s">
        <v>7</v>
      </c>
      <c r="G492" s="1218" t="s">
        <v>1291</v>
      </c>
      <c r="H492" s="1218" t="s">
        <v>3950</v>
      </c>
      <c r="I492" s="1220">
        <v>-298</v>
      </c>
      <c r="J492" s="1220">
        <v>-79</v>
      </c>
      <c r="K492" s="1220">
        <v>-377</v>
      </c>
      <c r="L492" s="653" t="str">
        <f t="shared" si="231"/>
        <v>9170@</v>
      </c>
      <c r="M492" s="654" t="str">
        <f t="shared" si="232"/>
        <v># DE PROFIT PROTECTIONS - NEUFS</v>
      </c>
      <c r="N492" s="655">
        <f>+IF(OR($Q492=Parametres!$G$2,$Q492=Parametres!$G$3),I492,C492)</f>
        <v>-298</v>
      </c>
      <c r="O492" s="655">
        <f>+IF(OR($Q492=Parametres!$G$2,$Q492=Parametres!$G$3),J492,D492)</f>
        <v>-79</v>
      </c>
      <c r="P492" s="655">
        <f>+IF(OR($Q492=Parametres!$G$2,$Q492=Parametres!$G$3),K492,E492)</f>
        <v>-377</v>
      </c>
      <c r="Q492" s="654" t="str">
        <f t="shared" si="233"/>
        <v>10-Compte compteur</v>
      </c>
      <c r="R492" s="653" t="str">
        <f t="shared" si="234"/>
        <v>9161</v>
      </c>
      <c r="S492" s="654" t="str">
        <f t="shared" si="235"/>
        <v>_</v>
      </c>
      <c r="T492" s="656" t="str">
        <f>+VLOOKUP($L492,Data_Validation!$A:$D,1,0)</f>
        <v>9170@</v>
      </c>
      <c r="U492" s="656" t="str">
        <f>+VLOOKUP($L492,Data_Validation!$A:$D,3,0)</f>
        <v>Véhicules neufs</v>
      </c>
      <c r="V492" s="656">
        <f>+VLOOKUP($L492,Data_Validation!$A:$D,4,0)</f>
        <v>0</v>
      </c>
      <c r="W492" s="656" t="str">
        <f>+VLOOKUP($L492,Data_Validation!$A:$E,5,0)</f>
        <v>NB</v>
      </c>
      <c r="X492" s="656">
        <f>+VLOOKUP($L492,Data_Validation!$A:$F,6,0)</f>
        <v>0</v>
      </c>
    </row>
    <row r="493" spans="1:24" ht="15.75" customHeight="1">
      <c r="A493" s="1218" t="s">
        <v>1307</v>
      </c>
      <c r="B493" s="1218" t="s">
        <v>1308</v>
      </c>
      <c r="C493" s="1219"/>
      <c r="D493" s="1219"/>
      <c r="E493" s="1219"/>
      <c r="F493" s="1218" t="s">
        <v>7</v>
      </c>
      <c r="G493" s="1218" t="s">
        <v>1295</v>
      </c>
      <c r="H493" s="1218" t="s">
        <v>3950</v>
      </c>
      <c r="I493" s="1220">
        <v>-160</v>
      </c>
      <c r="J493" s="1220">
        <v>-28</v>
      </c>
      <c r="K493" s="1220">
        <v>-188</v>
      </c>
      <c r="L493" s="653" t="str">
        <f t="shared" si="231"/>
        <v>9172@</v>
      </c>
      <c r="M493" s="654" t="str">
        <f t="shared" si="232"/>
        <v># DE PROFIT PROTECTIONS - USAGES</v>
      </c>
      <c r="N493" s="655">
        <f>+IF(OR($Q493=Parametres!$G$2,$Q493=Parametres!$G$3),I493,C493)</f>
        <v>-160</v>
      </c>
      <c r="O493" s="655">
        <f>+IF(OR($Q493=Parametres!$G$2,$Q493=Parametres!$G$3),J493,D493)</f>
        <v>-28</v>
      </c>
      <c r="P493" s="655">
        <f>+IF(OR($Q493=Parametres!$G$2,$Q493=Parametres!$G$3),K493,E493)</f>
        <v>-188</v>
      </c>
      <c r="Q493" s="654" t="str">
        <f t="shared" si="233"/>
        <v>10-Compte compteur</v>
      </c>
      <c r="R493" s="653" t="str">
        <f t="shared" si="234"/>
        <v>9163</v>
      </c>
      <c r="S493" s="654" t="str">
        <f t="shared" si="235"/>
        <v>_</v>
      </c>
      <c r="T493" s="656" t="str">
        <f>+VLOOKUP($L493,Data_Validation!$A:$D,1,0)</f>
        <v>9172@</v>
      </c>
      <c r="U493" s="656" t="str">
        <f>+VLOOKUP($L493,Data_Validation!$A:$D,3,0)</f>
        <v>Véhicules usagés</v>
      </c>
      <c r="V493" s="656">
        <f>+VLOOKUP($L493,Data_Validation!$A:$D,4,0)</f>
        <v>0</v>
      </c>
      <c r="W493" s="656" t="str">
        <f>+VLOOKUP($L493,Data_Validation!$A:$E,5,0)</f>
        <v>NB</v>
      </c>
      <c r="X493" s="656">
        <f>+VLOOKUP($L493,Data_Validation!$A:$F,6,0)</f>
        <v>0</v>
      </c>
    </row>
    <row r="494" spans="1:24" ht="15.75" customHeight="1">
      <c r="A494" s="1212"/>
      <c r="B494" s="1212"/>
      <c r="C494" s="1213"/>
      <c r="D494" s="1213"/>
      <c r="E494" s="1213"/>
      <c r="F494" s="1212"/>
      <c r="G494" s="1212"/>
      <c r="H494" s="1212"/>
      <c r="I494" s="1214"/>
      <c r="J494" s="1214"/>
      <c r="K494" s="1214"/>
      <c r="L494" s="653" t="str">
        <f t="shared" si="231"/>
        <v>0</v>
      </c>
      <c r="M494" s="654">
        <f t="shared" si="232"/>
        <v>0</v>
      </c>
      <c r="N494" s="655">
        <f>+IF(OR($Q494=Parametres!$G$2,$Q494=Parametres!$G$3),I494,C494)</f>
        <v>0</v>
      </c>
      <c r="O494" s="655">
        <f>+IF(OR($Q494=Parametres!$G$2,$Q494=Parametres!$G$3),J494,D494)</f>
        <v>0</v>
      </c>
      <c r="P494" s="655">
        <f>+IF(OR($Q494=Parametres!$G$2,$Q494=Parametres!$G$3),K494,E494)</f>
        <v>0</v>
      </c>
      <c r="Q494" s="654">
        <f t="shared" si="233"/>
        <v>0</v>
      </c>
      <c r="R494" s="653">
        <f t="shared" si="234"/>
        <v>0</v>
      </c>
      <c r="S494" s="654">
        <f t="shared" si="235"/>
        <v>0</v>
      </c>
      <c r="T494" s="656" t="e">
        <f>+VLOOKUP($L494,Data_Validation!$A:$D,1,0)</f>
        <v>#N/A</v>
      </c>
      <c r="U494" s="656" t="e">
        <f>+VLOOKUP($L494,Data_Validation!$A:$D,3,0)</f>
        <v>#N/A</v>
      </c>
      <c r="V494" s="656" t="e">
        <f>+VLOOKUP($L494,Data_Validation!$A:$D,4,0)</f>
        <v>#N/A</v>
      </c>
      <c r="W494" s="656" t="e">
        <f>+VLOOKUP($L494,Data_Validation!$A:$E,5,0)</f>
        <v>#N/A</v>
      </c>
      <c r="X494" s="656" t="e">
        <f>+VLOOKUP($L494,Data_Validation!$A:$F,6,0)</f>
        <v>#N/A</v>
      </c>
    </row>
    <row r="495" spans="1:24" ht="15.75" customHeight="1">
      <c r="A495" s="1212"/>
      <c r="B495" s="1212"/>
      <c r="C495" s="1213"/>
      <c r="D495" s="1213"/>
      <c r="E495" s="1213"/>
      <c r="F495" s="1212"/>
      <c r="G495" s="1212"/>
      <c r="H495" s="1212"/>
      <c r="I495" s="1214"/>
      <c r="J495" s="1214"/>
      <c r="K495" s="1214"/>
      <c r="L495" s="653" t="str">
        <f t="shared" si="231"/>
        <v>0</v>
      </c>
      <c r="M495" s="654">
        <f t="shared" si="232"/>
        <v>0</v>
      </c>
      <c r="N495" s="655">
        <f>+IF(OR($Q495=Parametres!$G$2,$Q495=Parametres!$G$3),I495,C495)</f>
        <v>0</v>
      </c>
      <c r="O495" s="655">
        <f>+IF(OR($Q495=Parametres!$G$2,$Q495=Parametres!$G$3),J495,D495)</f>
        <v>0</v>
      </c>
      <c r="P495" s="655">
        <f>+IF(OR($Q495=Parametres!$G$2,$Q495=Parametres!$G$3),K495,E495)</f>
        <v>0</v>
      </c>
      <c r="Q495" s="654">
        <f t="shared" si="233"/>
        <v>0</v>
      </c>
      <c r="R495" s="653">
        <f t="shared" si="234"/>
        <v>0</v>
      </c>
      <c r="S495" s="654">
        <f t="shared" si="235"/>
        <v>0</v>
      </c>
      <c r="T495" s="656" t="e">
        <f>+VLOOKUP($L495,Data_Validation!$A:$D,1,0)</f>
        <v>#N/A</v>
      </c>
      <c r="U495" s="656" t="e">
        <f>+VLOOKUP($L495,Data_Validation!$A:$D,3,0)</f>
        <v>#N/A</v>
      </c>
      <c r="V495" s="656" t="e">
        <f>+VLOOKUP($L495,Data_Validation!$A:$D,4,0)</f>
        <v>#N/A</v>
      </c>
      <c r="W495" s="656" t="e">
        <f>+VLOOKUP($L495,Data_Validation!$A:$E,5,0)</f>
        <v>#N/A</v>
      </c>
      <c r="X495" s="656" t="e">
        <f>+VLOOKUP($L495,Data_Validation!$A:$F,6,0)</f>
        <v>#N/A</v>
      </c>
    </row>
    <row r="496" spans="1:24" ht="15.75" customHeight="1">
      <c r="C496" s="1023"/>
      <c r="D496" s="1023"/>
      <c r="E496" s="1023"/>
      <c r="I496" s="1024"/>
      <c r="J496" s="1024"/>
      <c r="K496" s="1024"/>
      <c r="O496" s="673"/>
    </row>
    <row r="497" spans="3:15" ht="15.75" customHeight="1">
      <c r="C497" s="1023"/>
      <c r="D497" s="1023"/>
      <c r="E497" s="1023"/>
      <c r="I497" s="1024"/>
      <c r="J497" s="1024"/>
      <c r="K497" s="1024"/>
      <c r="O497" s="673"/>
    </row>
    <row r="498" spans="3:15" ht="15.75" customHeight="1">
      <c r="C498" s="1023"/>
      <c r="D498" s="1023"/>
      <c r="E498" s="1023"/>
      <c r="I498" s="1024"/>
      <c r="J498" s="1024"/>
      <c r="K498" s="1024"/>
      <c r="O498" s="673"/>
    </row>
    <row r="499" spans="3:15" ht="15.75" customHeight="1">
      <c r="C499" s="1023"/>
      <c r="D499" s="1023"/>
      <c r="E499" s="1023"/>
      <c r="I499" s="1024"/>
      <c r="J499" s="1024"/>
      <c r="K499" s="1024"/>
      <c r="O499" s="673"/>
    </row>
    <row r="500" spans="3:15" ht="15.75" customHeight="1">
      <c r="C500" s="1023"/>
      <c r="D500" s="1023"/>
      <c r="E500" s="1023"/>
      <c r="I500" s="1024"/>
      <c r="J500" s="1024"/>
      <c r="K500" s="1024"/>
      <c r="O500" s="673"/>
    </row>
    <row r="501" spans="3:15" ht="15.75" customHeight="1">
      <c r="C501" s="1023"/>
      <c r="D501" s="1023"/>
      <c r="E501" s="1023"/>
      <c r="I501" s="1024"/>
      <c r="J501" s="1024"/>
      <c r="K501" s="1024"/>
      <c r="O501" s="673"/>
    </row>
    <row r="502" spans="3:15" ht="15.75" customHeight="1">
      <c r="C502" s="1023"/>
      <c r="D502" s="1023"/>
      <c r="E502" s="1023"/>
      <c r="I502" s="1024"/>
      <c r="J502" s="1024"/>
      <c r="K502" s="1024"/>
      <c r="O502" s="673"/>
    </row>
    <row r="503" spans="3:15" ht="15.75" customHeight="1">
      <c r="C503" s="1023"/>
      <c r="D503" s="1023"/>
      <c r="E503" s="1023"/>
      <c r="I503" s="1024"/>
      <c r="J503" s="1024"/>
      <c r="K503" s="1024"/>
      <c r="O503" s="673"/>
    </row>
    <row r="504" spans="3:15" ht="15.75" customHeight="1">
      <c r="C504" s="1023"/>
      <c r="D504" s="1023"/>
      <c r="E504" s="1023"/>
      <c r="I504" s="1024"/>
      <c r="J504" s="1024"/>
      <c r="K504" s="1024"/>
      <c r="O504" s="673"/>
    </row>
    <row r="505" spans="3:15" ht="15.75" customHeight="1">
      <c r="C505" s="1023"/>
      <c r="D505" s="1023"/>
      <c r="E505" s="1023"/>
      <c r="I505" s="1024"/>
      <c r="J505" s="1024"/>
      <c r="K505" s="1024"/>
      <c r="O505" s="673"/>
    </row>
    <row r="506" spans="3:15" ht="15.75" customHeight="1">
      <c r="C506" s="1023"/>
      <c r="D506" s="1023"/>
      <c r="E506" s="1023"/>
      <c r="I506" s="1024"/>
      <c r="J506" s="1024"/>
      <c r="K506" s="1024"/>
      <c r="O506" s="673"/>
    </row>
    <row r="507" spans="3:15" ht="15.75" customHeight="1">
      <c r="C507" s="1023"/>
      <c r="D507" s="1023"/>
      <c r="E507" s="1023"/>
      <c r="I507" s="1024"/>
      <c r="J507" s="1024"/>
      <c r="K507" s="1024"/>
      <c r="O507" s="673"/>
    </row>
    <row r="508" spans="3:15" ht="15.75" customHeight="1">
      <c r="C508" s="1023"/>
      <c r="D508" s="1023"/>
      <c r="E508" s="1023"/>
      <c r="I508" s="1024"/>
      <c r="J508" s="1024"/>
      <c r="K508" s="1024"/>
      <c r="O508" s="673"/>
    </row>
    <row r="509" spans="3:15" ht="15.75" customHeight="1">
      <c r="C509" s="1023"/>
      <c r="D509" s="1023"/>
      <c r="E509" s="1023"/>
      <c r="I509" s="1024"/>
      <c r="J509" s="1024"/>
      <c r="K509" s="1024"/>
      <c r="O509" s="673"/>
    </row>
    <row r="510" spans="3:15" ht="15.75" customHeight="1">
      <c r="C510" s="1023"/>
      <c r="D510" s="1023"/>
      <c r="E510" s="1023"/>
      <c r="I510" s="1024"/>
      <c r="J510" s="1024"/>
      <c r="K510" s="1024"/>
      <c r="O510" s="673"/>
    </row>
    <row r="511" spans="3:15" ht="15.75" customHeight="1">
      <c r="C511" s="1023"/>
      <c r="D511" s="1023"/>
      <c r="E511" s="1023"/>
      <c r="I511" s="1024"/>
      <c r="J511" s="1024"/>
      <c r="K511" s="1024"/>
      <c r="O511" s="673"/>
    </row>
    <row r="512" spans="3:15"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sheetData>
  <autoFilter ref="A1:X495">
    <sortState ref="A180:X388">
      <sortCondition ref="O1:O388"/>
    </sortState>
  </autoFilter>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C1146"/>
  <sheetViews>
    <sheetView topLeftCell="A310" workbookViewId="0">
      <selection activeCell="E342" sqref="E342"/>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
        <v>2</v>
      </c>
      <c r="H2" s="3"/>
      <c r="I2" s="683" t="s">
        <v>1321</v>
      </c>
      <c r="K2" s="683">
        <f>Print_Mois!C4</f>
        <v>0</v>
      </c>
    </row>
    <row r="3" spans="1:13" ht="15" customHeight="1">
      <c r="A3" s="690" t="s">
        <v>1441</v>
      </c>
      <c r="B3" s="678" t="s">
        <v>729</v>
      </c>
      <c r="C3" s="679"/>
      <c r="D3" s="679"/>
      <c r="E3" s="680"/>
      <c r="F3" s="681"/>
      <c r="G3" s="682" t="e">
        <v>#N/A</v>
      </c>
      <c r="H3" s="33"/>
      <c r="I3" s="683" t="str">
        <f>Print_Mois!K1</f>
        <v>Véhicules neufs</v>
      </c>
      <c r="K3" s="683" t="s">
        <v>83</v>
      </c>
    </row>
    <row r="4" spans="1:13" ht="15" customHeight="1">
      <c r="A4" s="690" t="s">
        <v>1444</v>
      </c>
      <c r="B4" s="678" t="s">
        <v>730</v>
      </c>
      <c r="C4" s="679"/>
      <c r="D4" s="679"/>
      <c r="E4" s="680"/>
      <c r="F4" s="681"/>
      <c r="G4" s="682" t="s">
        <v>816</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
        <v>816</v>
      </c>
      <c r="H5" s="33"/>
      <c r="I5" s="683" t="str">
        <f>Print_Mois!AE402</f>
        <v>TOTAL DES REVENUS ET DÉPENSES</v>
      </c>
      <c r="K5" s="683" t="s">
        <v>70</v>
      </c>
      <c r="M5" s="138" t="s">
        <v>1323</v>
      </c>
    </row>
    <row r="6" spans="1:13" ht="15" customHeight="1">
      <c r="A6" s="690" t="s">
        <v>3356</v>
      </c>
      <c r="B6" s="678" t="s">
        <v>1338</v>
      </c>
      <c r="C6" s="679" t="s">
        <v>1321</v>
      </c>
      <c r="D6" s="679" t="s">
        <v>25</v>
      </c>
      <c r="E6" s="680" t="s">
        <v>303</v>
      </c>
      <c r="F6" s="681"/>
      <c r="G6" s="680" t="s">
        <v>816</v>
      </c>
      <c r="H6" s="33"/>
      <c r="I6" s="683" t="str">
        <f>Print_Mois!K168</f>
        <v>Service</v>
      </c>
      <c r="K6" s="683" t="s">
        <v>72</v>
      </c>
      <c r="M6" s="138" t="s">
        <v>1324</v>
      </c>
    </row>
    <row r="7" spans="1:13" ht="15" customHeight="1">
      <c r="A7" s="690" t="s">
        <v>3357</v>
      </c>
      <c r="B7" s="678" t="s">
        <v>818</v>
      </c>
      <c r="C7" s="679" t="s">
        <v>1321</v>
      </c>
      <c r="D7" s="679" t="s">
        <v>25</v>
      </c>
      <c r="E7" s="680" t="s">
        <v>303</v>
      </c>
      <c r="F7" s="681"/>
      <c r="G7" s="682" t="s">
        <v>816</v>
      </c>
      <c r="H7" s="33"/>
      <c r="I7" s="683" t="str">
        <f>Print_Mois!K236</f>
        <v>Carrosserie</v>
      </c>
      <c r="K7" s="683" t="str">
        <f>Print_Mois!V491</f>
        <v>Amortissement</v>
      </c>
      <c r="M7" s="138" t="s">
        <v>304</v>
      </c>
    </row>
    <row r="8" spans="1:13" ht="15" customHeight="1">
      <c r="A8" s="690" t="s">
        <v>3358</v>
      </c>
      <c r="B8" s="678" t="s">
        <v>1340</v>
      </c>
      <c r="C8" s="679" t="s">
        <v>1321</v>
      </c>
      <c r="D8" s="679" t="s">
        <v>25</v>
      </c>
      <c r="E8" s="680" t="s">
        <v>303</v>
      </c>
      <c r="F8" s="681"/>
      <c r="G8" s="680" t="e">
        <v>#N/A</v>
      </c>
      <c r="H8" s="33"/>
      <c r="I8" s="683" t="str">
        <f>Print_Mois!K291</f>
        <v>Pièces</v>
      </c>
      <c r="K8" s="683" t="s">
        <v>85</v>
      </c>
      <c r="M8" s="138" t="s">
        <v>161</v>
      </c>
    </row>
    <row r="9" spans="1:13" ht="15" customHeight="1">
      <c r="A9" s="690" t="s">
        <v>3359</v>
      </c>
      <c r="B9" s="678" t="s">
        <v>1341</v>
      </c>
      <c r="C9" s="679" t="s">
        <v>1321</v>
      </c>
      <c r="D9" s="679" t="s">
        <v>25</v>
      </c>
      <c r="E9" s="680" t="s">
        <v>303</v>
      </c>
      <c r="F9" s="681"/>
      <c r="G9" s="680" t="s">
        <v>816</v>
      </c>
      <c r="H9" s="33"/>
      <c r="I9" s="683" t="s">
        <v>1325</v>
      </c>
      <c r="K9" s="683" t="str">
        <f>Print_Mois!V457</f>
        <v>Assurances</v>
      </c>
      <c r="M9" s="138" t="s">
        <v>180</v>
      </c>
    </row>
    <row r="10" spans="1:13" ht="15" customHeight="1">
      <c r="A10" s="690" t="s">
        <v>3888</v>
      </c>
      <c r="B10" s="678" t="s">
        <v>3887</v>
      </c>
      <c r="C10" s="679" t="s">
        <v>1321</v>
      </c>
      <c r="D10" s="679" t="s">
        <v>25</v>
      </c>
      <c r="E10" s="680" t="s">
        <v>303</v>
      </c>
      <c r="F10" s="681"/>
      <c r="G10" s="680" t="s">
        <v>2</v>
      </c>
      <c r="H10" s="33"/>
      <c r="I10" s="683"/>
      <c r="K10" s="683"/>
      <c r="M10" s="138"/>
    </row>
    <row r="11" spans="1:13" ht="15" customHeight="1">
      <c r="A11" s="690" t="s">
        <v>3360</v>
      </c>
      <c r="B11" s="678" t="s">
        <v>819</v>
      </c>
      <c r="C11" s="679" t="s">
        <v>1321</v>
      </c>
      <c r="D11" s="679" t="s">
        <v>25</v>
      </c>
      <c r="E11" s="680" t="s">
        <v>303</v>
      </c>
      <c r="F11" s="681"/>
      <c r="G11" s="682" t="s">
        <v>2</v>
      </c>
      <c r="H11" s="33"/>
      <c r="I11" s="683"/>
      <c r="K11" s="683" t="s">
        <v>1326</v>
      </c>
      <c r="M11" s="138" t="s">
        <v>176</v>
      </c>
    </row>
    <row r="12" spans="1:13" ht="15" customHeight="1">
      <c r="A12" s="690" t="s">
        <v>1449</v>
      </c>
      <c r="B12" s="678" t="s">
        <v>1342</v>
      </c>
      <c r="C12" s="679" t="s">
        <v>1321</v>
      </c>
      <c r="D12" s="679" t="s">
        <v>25</v>
      </c>
      <c r="E12" s="680" t="s">
        <v>303</v>
      </c>
      <c r="F12" s="681"/>
      <c r="G12" s="680" t="s">
        <v>902</v>
      </c>
      <c r="H12" s="33"/>
      <c r="I12" s="683"/>
      <c r="K12" s="683" t="s">
        <v>1327</v>
      </c>
      <c r="M12" s="684" t="s">
        <v>1328</v>
      </c>
    </row>
    <row r="13" spans="1:13" ht="15" customHeight="1">
      <c r="A13" s="690" t="s">
        <v>1452</v>
      </c>
      <c r="B13" s="678" t="s">
        <v>820</v>
      </c>
      <c r="C13" s="679" t="s">
        <v>1321</v>
      </c>
      <c r="D13" s="679" t="s">
        <v>25</v>
      </c>
      <c r="E13" s="680" t="s">
        <v>303</v>
      </c>
      <c r="F13" s="681"/>
      <c r="G13" s="682" t="s">
        <v>902</v>
      </c>
      <c r="H13" s="33"/>
      <c r="K13" s="683" t="str">
        <f>Print_Mois!C6</f>
        <v>Autos détail</v>
      </c>
      <c r="M13" s="5" t="s">
        <v>1324</v>
      </c>
    </row>
    <row r="14" spans="1:13" ht="15" customHeight="1">
      <c r="A14" s="690" t="s">
        <v>3361</v>
      </c>
      <c r="B14" s="678" t="s">
        <v>1343</v>
      </c>
      <c r="C14" s="679" t="s">
        <v>1321</v>
      </c>
      <c r="D14" s="679" t="s">
        <v>25</v>
      </c>
      <c r="E14" s="680" t="s">
        <v>303</v>
      </c>
      <c r="F14" s="681"/>
      <c r="G14" s="680" t="e">
        <v>#N/A</v>
      </c>
      <c r="H14" s="33"/>
      <c r="K14" s="683" t="s">
        <v>173</v>
      </c>
    </row>
    <row r="15" spans="1:13" ht="15" customHeight="1">
      <c r="A15" s="690" t="s">
        <v>3362</v>
      </c>
      <c r="B15" s="678" t="s">
        <v>820</v>
      </c>
      <c r="C15" s="679" t="s">
        <v>1321</v>
      </c>
      <c r="D15" s="679" t="s">
        <v>25</v>
      </c>
      <c r="E15" s="680" t="s">
        <v>303</v>
      </c>
      <c r="F15" s="681"/>
      <c r="G15" s="682" t="e">
        <v>#N/A</v>
      </c>
      <c r="H15" s="33"/>
      <c r="K15" s="683" t="str">
        <f>Print_Mois!C312</f>
        <v>Autostock</v>
      </c>
      <c r="M15" s="5" t="s">
        <v>304</v>
      </c>
    </row>
    <row r="16" spans="1:13" ht="15" customHeight="1">
      <c r="A16" s="690" t="s">
        <v>3352</v>
      </c>
      <c r="B16" s="678" t="s">
        <v>731</v>
      </c>
      <c r="C16" s="679"/>
      <c r="D16" s="679"/>
      <c r="E16" s="680"/>
      <c r="F16" s="681"/>
      <c r="G16" s="682" t="e">
        <v>#N/A</v>
      </c>
      <c r="H16" s="33"/>
      <c r="K16" s="683" t="s">
        <v>43</v>
      </c>
    </row>
    <row r="17" spans="1:13" ht="15" customHeight="1">
      <c r="A17" s="690" t="s">
        <v>823</v>
      </c>
      <c r="B17" s="678" t="s">
        <v>822</v>
      </c>
      <c r="C17" s="679" t="s">
        <v>1321</v>
      </c>
      <c r="D17" s="679" t="s">
        <v>29</v>
      </c>
      <c r="E17" s="680" t="s">
        <v>303</v>
      </c>
      <c r="F17" s="681"/>
      <c r="G17" s="682" t="e">
        <v>#N/A</v>
      </c>
      <c r="H17" s="33"/>
      <c r="K17" s="683" t="s">
        <v>57</v>
      </c>
      <c r="M17" s="684" t="s">
        <v>1329</v>
      </c>
    </row>
    <row r="18" spans="1:13" ht="15" customHeight="1">
      <c r="A18" s="690" t="s">
        <v>825</v>
      </c>
      <c r="B18" s="678" t="s">
        <v>824</v>
      </c>
      <c r="C18" s="679" t="s">
        <v>1321</v>
      </c>
      <c r="D18" s="679" t="s">
        <v>30</v>
      </c>
      <c r="E18" s="680" t="s">
        <v>303</v>
      </c>
      <c r="F18" s="681"/>
      <c r="G18" s="682" t="s">
        <v>902</v>
      </c>
      <c r="H18" s="33"/>
      <c r="K18" s="683" t="s">
        <v>73</v>
      </c>
      <c r="M18" s="5" t="s">
        <v>1324</v>
      </c>
    </row>
    <row r="19" spans="1:13" ht="15" customHeight="1">
      <c r="A19" s="690" t="s">
        <v>1459</v>
      </c>
      <c r="B19" s="678" t="s">
        <v>826</v>
      </c>
      <c r="C19" s="679" t="s">
        <v>1321</v>
      </c>
      <c r="D19" s="679" t="s">
        <v>30</v>
      </c>
      <c r="E19" s="680" t="s">
        <v>303</v>
      </c>
      <c r="F19" s="681"/>
      <c r="G19" s="682" t="s">
        <v>902</v>
      </c>
      <c r="H19" s="33"/>
      <c r="K19" s="683" t="s">
        <v>31</v>
      </c>
      <c r="M19" s="5" t="s">
        <v>304</v>
      </c>
    </row>
    <row r="20" spans="1:13" ht="15" customHeight="1">
      <c r="A20" s="690" t="s">
        <v>828</v>
      </c>
      <c r="B20" s="678" t="s">
        <v>827</v>
      </c>
      <c r="C20" s="679" t="s">
        <v>1321</v>
      </c>
      <c r="D20" s="679" t="s">
        <v>34</v>
      </c>
      <c r="E20" s="680" t="s">
        <v>303</v>
      </c>
      <c r="F20" s="681"/>
      <c r="G20" s="682" t="s">
        <v>902</v>
      </c>
      <c r="H20" s="33"/>
      <c r="K20" s="683" t="s">
        <v>54</v>
      </c>
    </row>
    <row r="21" spans="1:13" ht="15" customHeight="1">
      <c r="A21" s="690" t="s">
        <v>1464</v>
      </c>
      <c r="B21" s="678" t="s">
        <v>829</v>
      </c>
      <c r="C21" s="679" t="s">
        <v>1321</v>
      </c>
      <c r="D21" s="679" t="s">
        <v>38</v>
      </c>
      <c r="E21" s="680" t="s">
        <v>303</v>
      </c>
      <c r="F21" s="681"/>
      <c r="G21" s="682" t="s">
        <v>902</v>
      </c>
      <c r="H21" s="33"/>
      <c r="K21" s="683" t="s">
        <v>82</v>
      </c>
    </row>
    <row r="22" spans="1:13" ht="15" customHeight="1">
      <c r="A22" s="690" t="s">
        <v>3363</v>
      </c>
      <c r="B22" s="678" t="s">
        <v>830</v>
      </c>
      <c r="C22" s="679" t="s">
        <v>1321</v>
      </c>
      <c r="D22" s="679" t="s">
        <v>40</v>
      </c>
      <c r="E22" s="680" t="s">
        <v>303</v>
      </c>
      <c r="F22" s="681"/>
      <c r="G22" s="682" t="s">
        <v>902</v>
      </c>
      <c r="H22" s="33"/>
      <c r="K22" s="683" t="s">
        <v>67</v>
      </c>
    </row>
    <row r="23" spans="1:13" ht="15" customHeight="1">
      <c r="A23" s="690" t="s">
        <v>3364</v>
      </c>
      <c r="B23" s="678" t="s">
        <v>831</v>
      </c>
      <c r="C23" s="679" t="s">
        <v>1321</v>
      </c>
      <c r="D23" s="679" t="s">
        <v>40</v>
      </c>
      <c r="E23" s="680" t="s">
        <v>303</v>
      </c>
      <c r="F23" s="681"/>
      <c r="G23" s="682" t="s">
        <v>902</v>
      </c>
      <c r="H23" s="33"/>
      <c r="K23" s="683" t="s">
        <v>68</v>
      </c>
    </row>
    <row r="24" spans="1:13" ht="15" customHeight="1">
      <c r="A24" s="690" t="s">
        <v>1467</v>
      </c>
      <c r="B24" s="678" t="s">
        <v>832</v>
      </c>
      <c r="C24" s="679" t="s">
        <v>1321</v>
      </c>
      <c r="D24" s="679" t="s">
        <v>32</v>
      </c>
      <c r="E24" s="680" t="s">
        <v>303</v>
      </c>
      <c r="F24" s="681"/>
      <c r="G24" s="682" t="s">
        <v>902</v>
      </c>
      <c r="H24" s="33"/>
      <c r="K24" s="683" t="str">
        <f>Print_Mois!V430</f>
        <v>Bénéfices marginaux</v>
      </c>
    </row>
    <row r="25" spans="1:13" ht="15" customHeight="1">
      <c r="A25" s="690" t="s">
        <v>835</v>
      </c>
      <c r="B25" s="678" t="s">
        <v>834</v>
      </c>
      <c r="C25" s="679" t="s">
        <v>1321</v>
      </c>
      <c r="D25" s="679" t="s">
        <v>36</v>
      </c>
      <c r="E25" s="680" t="s">
        <v>303</v>
      </c>
      <c r="F25" s="681"/>
      <c r="G25" s="682" t="s">
        <v>902</v>
      </c>
      <c r="H25" s="33"/>
      <c r="K25" s="683" t="s">
        <v>86</v>
      </c>
    </row>
    <row r="26" spans="1:13" ht="15" customHeight="1">
      <c r="A26" s="690" t="s">
        <v>1472</v>
      </c>
      <c r="B26" s="678" t="s">
        <v>836</v>
      </c>
      <c r="C26" s="679" t="s">
        <v>1321</v>
      </c>
      <c r="D26" s="679" t="s">
        <v>1344</v>
      </c>
      <c r="E26" s="680" t="s">
        <v>303</v>
      </c>
      <c r="F26" s="681"/>
      <c r="G26" s="682" t="s">
        <v>902</v>
      </c>
      <c r="H26" s="33"/>
      <c r="K26" s="683" t="s">
        <v>1321</v>
      </c>
    </row>
    <row r="27" spans="1:13" ht="15" customHeight="1">
      <c r="A27" s="690" t="s">
        <v>1475</v>
      </c>
      <c r="B27" s="678" t="s">
        <v>837</v>
      </c>
      <c r="C27" s="679" t="s">
        <v>1321</v>
      </c>
      <c r="D27" s="679" t="s">
        <v>32</v>
      </c>
      <c r="E27" s="680" t="s">
        <v>303</v>
      </c>
      <c r="F27" s="681"/>
      <c r="G27" s="682" t="s">
        <v>902</v>
      </c>
      <c r="H27" s="33"/>
      <c r="K27" s="683" t="s">
        <v>196</v>
      </c>
    </row>
    <row r="28" spans="1:13" ht="15" customHeight="1">
      <c r="A28" s="687" t="s">
        <v>3344</v>
      </c>
      <c r="B28" s="687" t="s">
        <v>1345</v>
      </c>
      <c r="C28" s="679" t="s">
        <v>1321</v>
      </c>
      <c r="D28" s="679" t="s">
        <v>42</v>
      </c>
      <c r="E28" s="680" t="s">
        <v>303</v>
      </c>
      <c r="F28" s="681"/>
      <c r="G28" s="680" t="s">
        <v>2</v>
      </c>
      <c r="H28" s="33"/>
      <c r="K28" s="683" t="s">
        <v>98</v>
      </c>
    </row>
    <row r="29" spans="1:13" ht="15" customHeight="1">
      <c r="A29" s="687" t="s">
        <v>3365</v>
      </c>
      <c r="B29" s="687" t="s">
        <v>1345</v>
      </c>
      <c r="C29" s="679" t="s">
        <v>1321</v>
      </c>
      <c r="D29" s="679" t="s">
        <v>42</v>
      </c>
      <c r="E29" s="680" t="s">
        <v>303</v>
      </c>
      <c r="F29" s="681"/>
      <c r="G29" s="680" t="s">
        <v>902</v>
      </c>
      <c r="H29" s="33"/>
      <c r="K29" s="683" t="s">
        <v>84</v>
      </c>
    </row>
    <row r="30" spans="1:13" ht="15" customHeight="1">
      <c r="A30" s="690" t="s">
        <v>1478</v>
      </c>
      <c r="B30" s="678" t="s">
        <v>1346</v>
      </c>
      <c r="C30" s="679" t="s">
        <v>1321</v>
      </c>
      <c r="D30" s="679" t="s">
        <v>1344</v>
      </c>
      <c r="E30" s="680" t="s">
        <v>303</v>
      </c>
      <c r="F30" s="681"/>
      <c r="G30" s="680" t="s">
        <v>902</v>
      </c>
      <c r="H30" s="33"/>
      <c r="K30" s="683" t="str">
        <f>Print_Mois!C94</f>
        <v>Certifié</v>
      </c>
    </row>
    <row r="31" spans="1:13" ht="15" customHeight="1">
      <c r="A31" s="690" t="s">
        <v>1429</v>
      </c>
      <c r="B31" s="678" t="s">
        <v>1347</v>
      </c>
      <c r="C31" s="679" t="s">
        <v>1321</v>
      </c>
      <c r="D31" s="679" t="s">
        <v>35</v>
      </c>
      <c r="E31" s="680" t="s">
        <v>303</v>
      </c>
      <c r="F31" s="681"/>
      <c r="G31" s="680" t="s">
        <v>902</v>
      </c>
      <c r="H31" s="33"/>
      <c r="K31" s="683" t="str">
        <f>Print_Mois!V458</f>
        <v>Chauffage, éclairage</v>
      </c>
    </row>
    <row r="32" spans="1:13" ht="15" customHeight="1">
      <c r="A32" s="690" t="s">
        <v>839</v>
      </c>
      <c r="B32" s="678" t="s">
        <v>838</v>
      </c>
      <c r="C32" s="679" t="s">
        <v>1321</v>
      </c>
      <c r="D32" s="679" t="s">
        <v>34</v>
      </c>
      <c r="E32" s="680" t="s">
        <v>303</v>
      </c>
      <c r="F32" s="681"/>
      <c r="G32" s="682" t="s">
        <v>902</v>
      </c>
      <c r="H32" s="33"/>
      <c r="K32" s="683" t="str">
        <f>Print_Mois!C32</f>
        <v>Comm. F&amp;I</v>
      </c>
    </row>
    <row r="33" spans="1:11" ht="15" customHeight="1">
      <c r="A33" s="690" t="s">
        <v>841</v>
      </c>
      <c r="B33" s="678" t="s">
        <v>840</v>
      </c>
      <c r="C33" s="679" t="s">
        <v>1321</v>
      </c>
      <c r="D33" s="679" t="s">
        <v>46</v>
      </c>
      <c r="E33" s="680" t="s">
        <v>303</v>
      </c>
      <c r="F33" s="681"/>
      <c r="G33" s="682" t="s">
        <v>902</v>
      </c>
      <c r="H33" s="33"/>
      <c r="K33" s="683" t="str">
        <f>Print_Mois!C31</f>
        <v>Comm. vendeurs</v>
      </c>
    </row>
    <row r="34" spans="1:11" ht="15" customHeight="1">
      <c r="A34" s="690" t="s">
        <v>843</v>
      </c>
      <c r="B34" s="678" t="s">
        <v>842</v>
      </c>
      <c r="C34" s="679" t="s">
        <v>1321</v>
      </c>
      <c r="D34" s="679"/>
      <c r="E34" s="686" t="s">
        <v>341</v>
      </c>
      <c r="F34" s="681"/>
      <c r="G34" s="682" t="s">
        <v>1154</v>
      </c>
      <c r="H34" s="33"/>
      <c r="K34" s="683" t="s">
        <v>33</v>
      </c>
    </row>
    <row r="35" spans="1:11" ht="15" customHeight="1">
      <c r="A35" s="690" t="s">
        <v>1487</v>
      </c>
      <c r="B35" s="678" t="s">
        <v>844</v>
      </c>
      <c r="C35" s="679" t="s">
        <v>1321</v>
      </c>
      <c r="D35" s="679" t="s">
        <v>46</v>
      </c>
      <c r="E35" s="680" t="s">
        <v>303</v>
      </c>
      <c r="F35" s="681"/>
      <c r="G35" s="682" t="s">
        <v>902</v>
      </c>
      <c r="H35" s="33"/>
      <c r="K35" s="683" t="s">
        <v>1330</v>
      </c>
    </row>
    <row r="36" spans="1:11" ht="15" customHeight="1">
      <c r="A36" s="690" t="s">
        <v>846</v>
      </c>
      <c r="B36" s="678" t="s">
        <v>845</v>
      </c>
      <c r="C36" s="679" t="s">
        <v>1321</v>
      </c>
      <c r="D36" s="679" t="s">
        <v>48</v>
      </c>
      <c r="E36" s="680" t="s">
        <v>303</v>
      </c>
      <c r="F36" s="681"/>
      <c r="G36" s="682" t="s">
        <v>902</v>
      </c>
      <c r="H36" s="33"/>
      <c r="K36" s="683" t="s">
        <v>1331</v>
      </c>
    </row>
    <row r="37" spans="1:11" ht="15" customHeight="1">
      <c r="A37" s="690" t="s">
        <v>848</v>
      </c>
      <c r="B37" s="678" t="s">
        <v>847</v>
      </c>
      <c r="C37" s="679" t="s">
        <v>1321</v>
      </c>
      <c r="D37" s="679" t="s">
        <v>48</v>
      </c>
      <c r="E37" s="680" t="s">
        <v>303</v>
      </c>
      <c r="F37" s="681"/>
      <c r="G37" s="682" t="s">
        <v>2</v>
      </c>
      <c r="H37" s="33"/>
      <c r="K37" s="683" t="str">
        <f>Print_Mois!V431</f>
        <v>Csst</v>
      </c>
    </row>
    <row r="38" spans="1:11" ht="15" customHeight="1">
      <c r="A38" s="690" t="s">
        <v>850</v>
      </c>
      <c r="B38" s="678" t="s">
        <v>849</v>
      </c>
      <c r="C38" s="679" t="s">
        <v>1321</v>
      </c>
      <c r="D38" s="679"/>
      <c r="E38" s="686" t="s">
        <v>341</v>
      </c>
      <c r="F38" s="681"/>
      <c r="G38" s="682" t="s">
        <v>1154</v>
      </c>
      <c r="H38" s="33"/>
      <c r="K38" s="683" t="s">
        <v>55</v>
      </c>
    </row>
    <row r="39" spans="1:11" ht="15" customHeight="1">
      <c r="A39" s="690" t="s">
        <v>1430</v>
      </c>
      <c r="B39" s="678" t="s">
        <v>1349</v>
      </c>
      <c r="C39" s="679" t="s">
        <v>1321</v>
      </c>
      <c r="D39" s="679" t="s">
        <v>48</v>
      </c>
      <c r="E39" s="680" t="s">
        <v>303</v>
      </c>
      <c r="F39" s="681"/>
      <c r="G39" s="680" t="s">
        <v>902</v>
      </c>
      <c r="H39" s="33"/>
      <c r="K39" s="683" t="str">
        <f>Print_Mois!V429</f>
        <v>Déduction à la source</v>
      </c>
    </row>
    <row r="40" spans="1:11" ht="15" customHeight="1">
      <c r="A40" s="1020" t="s">
        <v>1406</v>
      </c>
      <c r="B40" s="678" t="s">
        <v>1407</v>
      </c>
      <c r="C40" s="679"/>
      <c r="D40" s="679"/>
      <c r="E40" s="680"/>
      <c r="F40" s="681"/>
      <c r="G40" s="680" t="s">
        <v>1154</v>
      </c>
      <c r="H40" s="33"/>
      <c r="K40" s="683" t="s">
        <v>39</v>
      </c>
    </row>
    <row r="41" spans="1:11" ht="15" customHeight="1">
      <c r="A41" s="690" t="s">
        <v>852</v>
      </c>
      <c r="B41" s="678" t="s">
        <v>851</v>
      </c>
      <c r="C41" s="679" t="s">
        <v>1321</v>
      </c>
      <c r="D41" s="679" t="s">
        <v>46</v>
      </c>
      <c r="E41" s="680" t="s">
        <v>303</v>
      </c>
      <c r="F41" s="681"/>
      <c r="G41" s="682" t="s">
        <v>902</v>
      </c>
      <c r="H41" s="33"/>
      <c r="K41" s="683" t="s">
        <v>71</v>
      </c>
    </row>
    <row r="42" spans="1:11" ht="15" customHeight="1">
      <c r="A42" s="690" t="s">
        <v>3366</v>
      </c>
      <c r="B42" s="678" t="s">
        <v>853</v>
      </c>
      <c r="C42" s="679" t="s">
        <v>1321</v>
      </c>
      <c r="D42" s="679" t="s">
        <v>46</v>
      </c>
      <c r="E42" s="680" t="s">
        <v>303</v>
      </c>
      <c r="F42" s="681"/>
      <c r="G42" s="682" t="s">
        <v>902</v>
      </c>
      <c r="H42" s="33"/>
      <c r="K42" s="683" t="str">
        <f>Print_Mois!V446</f>
        <v>Divers</v>
      </c>
    </row>
    <row r="43" spans="1:11" ht="15" customHeight="1">
      <c r="A43" s="690" t="s">
        <v>856</v>
      </c>
      <c r="B43" s="678" t="s">
        <v>855</v>
      </c>
      <c r="C43" s="679" t="s">
        <v>1321</v>
      </c>
      <c r="D43" s="679" t="s">
        <v>50</v>
      </c>
      <c r="E43" s="680" t="s">
        <v>303</v>
      </c>
      <c r="F43" s="681"/>
      <c r="G43" s="682" t="s">
        <v>2</v>
      </c>
      <c r="H43" s="33"/>
      <c r="K43" s="683" t="s">
        <v>87</v>
      </c>
    </row>
    <row r="44" spans="1:11" ht="15" customHeight="1">
      <c r="A44" s="690" t="s">
        <v>3367</v>
      </c>
      <c r="B44" s="678" t="s">
        <v>857</v>
      </c>
      <c r="C44" s="679" t="s">
        <v>1321</v>
      </c>
      <c r="D44" s="679" t="s">
        <v>50</v>
      </c>
      <c r="E44" s="680" t="s">
        <v>303</v>
      </c>
      <c r="F44" s="681"/>
      <c r="G44" s="682" t="s">
        <v>902</v>
      </c>
      <c r="H44" s="33"/>
      <c r="K44" s="683" t="s">
        <v>214</v>
      </c>
    </row>
    <row r="45" spans="1:11" ht="15" customHeight="1">
      <c r="A45" s="690" t="s">
        <v>1498</v>
      </c>
      <c r="B45" s="678" t="s">
        <v>858</v>
      </c>
      <c r="C45" s="679" t="s">
        <v>1321</v>
      </c>
      <c r="D45" s="679" t="s">
        <v>50</v>
      </c>
      <c r="E45" s="680" t="s">
        <v>303</v>
      </c>
      <c r="F45" s="681"/>
      <c r="G45" s="682" t="s">
        <v>902</v>
      </c>
      <c r="H45" s="33"/>
      <c r="K45" s="683" t="s">
        <v>47</v>
      </c>
    </row>
    <row r="46" spans="1:11" ht="15" customHeight="1">
      <c r="A46" s="690" t="s">
        <v>860</v>
      </c>
      <c r="B46" s="678" t="s">
        <v>859</v>
      </c>
      <c r="C46" s="679" t="s">
        <v>1321</v>
      </c>
      <c r="D46" s="679" t="s">
        <v>50</v>
      </c>
      <c r="E46" s="680" t="s">
        <v>303</v>
      </c>
      <c r="F46" s="681"/>
      <c r="G46" s="682" t="s">
        <v>902</v>
      </c>
      <c r="H46" s="33"/>
      <c r="K46" s="683" t="s">
        <v>49</v>
      </c>
    </row>
    <row r="47" spans="1:11" ht="15" customHeight="1">
      <c r="A47" s="690" t="s">
        <v>862</v>
      </c>
      <c r="B47" s="678" t="s">
        <v>861</v>
      </c>
      <c r="C47" s="679" t="s">
        <v>1321</v>
      </c>
      <c r="D47" s="679" t="s">
        <v>56</v>
      </c>
      <c r="E47" s="680" t="s">
        <v>303</v>
      </c>
      <c r="F47" s="681"/>
      <c r="G47" s="682" t="s">
        <v>2</v>
      </c>
      <c r="H47" s="33"/>
      <c r="K47" s="683" t="s">
        <v>25</v>
      </c>
    </row>
    <row r="48" spans="1:11" ht="15" customHeight="1">
      <c r="A48" s="690" t="s">
        <v>1505</v>
      </c>
      <c r="B48" s="678" t="s">
        <v>863</v>
      </c>
      <c r="C48" s="679" t="s">
        <v>1321</v>
      </c>
      <c r="D48" s="679" t="s">
        <v>58</v>
      </c>
      <c r="E48" s="680" t="s">
        <v>303</v>
      </c>
      <c r="F48" s="681"/>
      <c r="G48" s="682" t="s">
        <v>2</v>
      </c>
      <c r="H48" s="33"/>
      <c r="K48" s="683" t="s">
        <v>79</v>
      </c>
    </row>
    <row r="49" spans="1:11" ht="15" customHeight="1">
      <c r="A49" s="690" t="s">
        <v>1508</v>
      </c>
      <c r="B49" s="678" t="s">
        <v>864</v>
      </c>
      <c r="C49" s="679" t="s">
        <v>1321</v>
      </c>
      <c r="D49" s="679" t="s">
        <v>50</v>
      </c>
      <c r="E49" s="680" t="s">
        <v>303</v>
      </c>
      <c r="F49" s="681"/>
      <c r="G49" s="682" t="s">
        <v>902</v>
      </c>
      <c r="H49" s="33"/>
      <c r="K49" s="683" t="str">
        <f>Print_Mois!C35</f>
        <v>Entretien stock</v>
      </c>
    </row>
    <row r="50" spans="1:11" ht="15" customHeight="1">
      <c r="A50" s="690" t="s">
        <v>3368</v>
      </c>
      <c r="B50" s="678" t="s">
        <v>1350</v>
      </c>
      <c r="C50" s="679" t="s">
        <v>1321</v>
      </c>
      <c r="D50" s="679" t="s">
        <v>50</v>
      </c>
      <c r="E50" s="680" t="s">
        <v>303</v>
      </c>
      <c r="F50" s="681"/>
      <c r="G50" s="680" t="s">
        <v>2</v>
      </c>
      <c r="H50" s="33"/>
      <c r="K50" s="683" t="s">
        <v>76</v>
      </c>
    </row>
    <row r="51" spans="1:11" ht="15" customHeight="1">
      <c r="A51" s="690" t="s">
        <v>866</v>
      </c>
      <c r="B51" s="678" t="s">
        <v>865</v>
      </c>
      <c r="C51" s="679" t="s">
        <v>1321</v>
      </c>
      <c r="D51" s="679" t="s">
        <v>50</v>
      </c>
      <c r="E51" s="680" t="s">
        <v>303</v>
      </c>
      <c r="F51" s="681"/>
      <c r="G51" s="682" t="s">
        <v>2</v>
      </c>
      <c r="H51" s="33"/>
      <c r="K51" s="683"/>
    </row>
    <row r="52" spans="1:11" ht="15" customHeight="1">
      <c r="A52" s="690" t="s">
        <v>1513</v>
      </c>
      <c r="B52" s="678" t="s">
        <v>867</v>
      </c>
      <c r="C52" s="679" t="s">
        <v>1321</v>
      </c>
      <c r="D52" s="679" t="s">
        <v>60</v>
      </c>
      <c r="E52" s="680" t="s">
        <v>303</v>
      </c>
      <c r="F52" s="681"/>
      <c r="G52" s="682" t="s">
        <v>2</v>
      </c>
      <c r="H52" s="33"/>
      <c r="K52" s="683" t="s">
        <v>74</v>
      </c>
    </row>
    <row r="53" spans="1:11" ht="15" customHeight="1">
      <c r="A53" s="690" t="s">
        <v>1516</v>
      </c>
      <c r="B53" s="678" t="s">
        <v>869</v>
      </c>
      <c r="C53" s="679" t="s">
        <v>1321</v>
      </c>
      <c r="D53" s="679" t="s">
        <v>60</v>
      </c>
      <c r="E53" s="680" t="s">
        <v>303</v>
      </c>
      <c r="F53" s="681"/>
      <c r="G53" s="682" t="s">
        <v>2</v>
      </c>
      <c r="H53" s="33"/>
      <c r="K53" s="683" t="s">
        <v>77</v>
      </c>
    </row>
    <row r="54" spans="1:11" ht="15" customHeight="1">
      <c r="A54" s="678" t="s">
        <v>1519</v>
      </c>
      <c r="B54" s="688" t="s">
        <v>870</v>
      </c>
      <c r="C54" s="679" t="s">
        <v>1321</v>
      </c>
      <c r="D54" s="679" t="s">
        <v>60</v>
      </c>
      <c r="E54" s="680" t="s">
        <v>303</v>
      </c>
      <c r="F54" s="681"/>
      <c r="G54" s="682" t="s">
        <v>902</v>
      </c>
      <c r="H54" s="33"/>
      <c r="K54" s="683" t="str">
        <f>Print_Mois!C302</f>
        <v>Escomptes</v>
      </c>
    </row>
    <row r="55" spans="1:11" ht="15" customHeight="1">
      <c r="A55" s="678" t="s">
        <v>1522</v>
      </c>
      <c r="B55" s="688" t="s">
        <v>1351</v>
      </c>
      <c r="C55" s="679" t="s">
        <v>1321</v>
      </c>
      <c r="D55" s="679" t="s">
        <v>60</v>
      </c>
      <c r="E55" s="680" t="s">
        <v>303</v>
      </c>
      <c r="F55" s="681"/>
      <c r="G55" s="680" t="s">
        <v>902</v>
      </c>
      <c r="H55" s="33"/>
      <c r="K55" s="683" t="str">
        <f>Print_Mois!C15</f>
        <v>Ex-Démos et courtoisies</v>
      </c>
    </row>
    <row r="56" spans="1:11" ht="15" customHeight="1">
      <c r="A56" s="678" t="s">
        <v>1525</v>
      </c>
      <c r="B56" s="688" t="s">
        <v>871</v>
      </c>
      <c r="C56" s="679" t="s">
        <v>1321</v>
      </c>
      <c r="D56" s="679" t="s">
        <v>60</v>
      </c>
      <c r="E56" s="680" t="s">
        <v>303</v>
      </c>
      <c r="F56" s="681"/>
      <c r="G56" s="682" t="s">
        <v>902</v>
      </c>
      <c r="H56" s="33"/>
      <c r="K56" s="683" t="str">
        <f>Print_Mois!C17</f>
        <v>Flottes</v>
      </c>
    </row>
    <row r="57" spans="1:11" ht="15" customHeight="1">
      <c r="A57" s="690" t="s">
        <v>1528</v>
      </c>
      <c r="B57" s="678" t="s">
        <v>872</v>
      </c>
      <c r="C57" s="679" t="s">
        <v>1321</v>
      </c>
      <c r="D57" s="679" t="s">
        <v>60</v>
      </c>
      <c r="E57" s="680" t="s">
        <v>303</v>
      </c>
      <c r="F57" s="681"/>
      <c r="G57" s="682" t="e">
        <v>#N/A</v>
      </c>
      <c r="H57" s="33"/>
      <c r="K57" s="683" t="s">
        <v>1332</v>
      </c>
    </row>
    <row r="58" spans="1:11" ht="15" customHeight="1">
      <c r="A58" s="690" t="s">
        <v>1531</v>
      </c>
      <c r="B58" s="678" t="s">
        <v>1352</v>
      </c>
      <c r="C58" s="679" t="s">
        <v>1321</v>
      </c>
      <c r="D58" s="679" t="s">
        <v>60</v>
      </c>
      <c r="E58" s="680" t="s">
        <v>303</v>
      </c>
      <c r="F58" s="681"/>
      <c r="G58" s="680" t="e">
        <v>#N/A</v>
      </c>
      <c r="H58" s="33"/>
      <c r="K58" s="683" t="str">
        <f>Print_Mois!V447</f>
        <v>Formation</v>
      </c>
    </row>
    <row r="59" spans="1:11" ht="15" customHeight="1">
      <c r="A59" s="690" t="s">
        <v>3369</v>
      </c>
      <c r="B59" s="678" t="s">
        <v>1353</v>
      </c>
      <c r="C59" s="679" t="s">
        <v>1321</v>
      </c>
      <c r="D59" s="679" t="s">
        <v>60</v>
      </c>
      <c r="E59" s="680" t="s">
        <v>303</v>
      </c>
      <c r="F59" s="681"/>
      <c r="G59" s="680" t="s">
        <v>902</v>
      </c>
      <c r="H59" s="33"/>
      <c r="K59" s="683" t="str">
        <f>Print_Mois!V441</f>
        <v>Fournitures autres</v>
      </c>
    </row>
    <row r="60" spans="1:11" ht="15" customHeight="1">
      <c r="A60" s="690" t="s">
        <v>1534</v>
      </c>
      <c r="B60" s="678" t="s">
        <v>1354</v>
      </c>
      <c r="C60" s="679" t="s">
        <v>1321</v>
      </c>
      <c r="D60" s="679" t="s">
        <v>57</v>
      </c>
      <c r="E60" s="680" t="s">
        <v>303</v>
      </c>
      <c r="F60" s="681"/>
      <c r="G60" s="680" t="s">
        <v>902</v>
      </c>
      <c r="H60" s="33"/>
      <c r="K60" s="683" t="s">
        <v>490</v>
      </c>
    </row>
    <row r="61" spans="1:11" ht="15" customHeight="1">
      <c r="A61" s="690" t="s">
        <v>1537</v>
      </c>
      <c r="B61" s="678" t="s">
        <v>1355</v>
      </c>
      <c r="C61" s="679" t="s">
        <v>1321</v>
      </c>
      <c r="D61" s="679" t="s">
        <v>60</v>
      </c>
      <c r="E61" s="680" t="s">
        <v>303</v>
      </c>
      <c r="F61" s="681"/>
      <c r="G61" s="680" t="s">
        <v>2</v>
      </c>
      <c r="H61" s="33"/>
      <c r="K61" s="683" t="str">
        <f>Print_Mois!V480</f>
        <v>Frais administration</v>
      </c>
    </row>
    <row r="62" spans="1:11" ht="15" customHeight="1">
      <c r="A62" s="690" t="s">
        <v>1540</v>
      </c>
      <c r="B62" s="678" t="s">
        <v>873</v>
      </c>
      <c r="C62" s="679" t="s">
        <v>1321</v>
      </c>
      <c r="D62" s="679" t="s">
        <v>60</v>
      </c>
      <c r="E62" s="680" t="s">
        <v>303</v>
      </c>
      <c r="F62" s="681"/>
      <c r="G62" s="682" t="s">
        <v>902</v>
      </c>
      <c r="H62" s="33"/>
      <c r="K62" s="683" t="s">
        <v>142</v>
      </c>
    </row>
    <row r="63" spans="1:11" ht="15" customHeight="1">
      <c r="A63" s="690" t="s">
        <v>1543</v>
      </c>
      <c r="B63" s="678" t="s">
        <v>874</v>
      </c>
      <c r="C63" s="679" t="s">
        <v>1321</v>
      </c>
      <c r="D63" s="679" t="s">
        <v>60</v>
      </c>
      <c r="E63" s="680" t="s">
        <v>303</v>
      </c>
      <c r="F63" s="681"/>
      <c r="G63" s="682" t="s">
        <v>902</v>
      </c>
      <c r="H63" s="33"/>
      <c r="K63" s="683"/>
    </row>
    <row r="64" spans="1:11" ht="15" customHeight="1">
      <c r="A64" s="690" t="s">
        <v>1546</v>
      </c>
      <c r="B64" s="678" t="s">
        <v>1356</v>
      </c>
      <c r="C64" s="679" t="s">
        <v>1321</v>
      </c>
      <c r="D64" s="679" t="s">
        <v>60</v>
      </c>
      <c r="E64" s="680" t="s">
        <v>303</v>
      </c>
      <c r="F64" s="681"/>
      <c r="G64" s="680" t="s">
        <v>2</v>
      </c>
      <c r="H64" s="33"/>
      <c r="K64" s="683" t="str">
        <f>Print_Mois!V451</f>
        <v>[...]</v>
      </c>
    </row>
    <row r="65" spans="1:11" ht="15" customHeight="1">
      <c r="A65" s="690" t="s">
        <v>1549</v>
      </c>
      <c r="B65" s="678" t="s">
        <v>1357</v>
      </c>
      <c r="C65" s="679" t="s">
        <v>1321</v>
      </c>
      <c r="D65" s="679" t="s">
        <v>60</v>
      </c>
      <c r="E65" s="680" t="s">
        <v>303</v>
      </c>
      <c r="F65" s="681"/>
      <c r="G65" s="680" t="s">
        <v>2</v>
      </c>
      <c r="H65" s="33"/>
      <c r="K65" s="683" t="str">
        <f>Print_Mois!V438</f>
        <v>Frais de déplacement</v>
      </c>
    </row>
    <row r="66" spans="1:11" ht="15" customHeight="1">
      <c r="A66" s="690" t="s">
        <v>1552</v>
      </c>
      <c r="B66" s="678" t="s">
        <v>875</v>
      </c>
      <c r="C66" s="679" t="s">
        <v>1321</v>
      </c>
      <c r="D66" s="679" t="s">
        <v>60</v>
      </c>
      <c r="E66" s="680" t="s">
        <v>303</v>
      </c>
      <c r="F66" s="681"/>
      <c r="G66" s="682" t="s">
        <v>2</v>
      </c>
      <c r="H66" s="33"/>
      <c r="K66" s="683" t="str">
        <f>Print_Mois!C33</f>
        <v>Frais de livraison</v>
      </c>
    </row>
    <row r="67" spans="1:11" ht="15" customHeight="1">
      <c r="A67" s="690" t="s">
        <v>1555</v>
      </c>
      <c r="B67" s="678" t="s">
        <v>876</v>
      </c>
      <c r="C67" s="679" t="s">
        <v>1321</v>
      </c>
      <c r="D67" s="679" t="s">
        <v>57</v>
      </c>
      <c r="E67" s="680" t="s">
        <v>303</v>
      </c>
      <c r="F67" s="681"/>
      <c r="G67" s="682" t="e">
        <v>#N/A</v>
      </c>
      <c r="H67" s="33"/>
      <c r="K67" s="683" t="s">
        <v>1334</v>
      </c>
    </row>
    <row r="68" spans="1:11" ht="15" customHeight="1">
      <c r="A68" s="690" t="s">
        <v>1558</v>
      </c>
      <c r="B68" s="678" t="s">
        <v>877</v>
      </c>
      <c r="C68" s="679" t="s">
        <v>1321</v>
      </c>
      <c r="D68" s="679" t="s">
        <v>57</v>
      </c>
      <c r="E68" s="680" t="s">
        <v>303</v>
      </c>
      <c r="F68" s="681"/>
      <c r="G68" s="682" t="e">
        <v>#N/A</v>
      </c>
      <c r="H68" s="33"/>
      <c r="K68" s="683" t="s">
        <v>60</v>
      </c>
    </row>
    <row r="69" spans="1:11" ht="15" customHeight="1">
      <c r="A69" s="690" t="s">
        <v>1561</v>
      </c>
      <c r="B69" s="678" t="s">
        <v>878</v>
      </c>
      <c r="C69" s="679" t="s">
        <v>1321</v>
      </c>
      <c r="D69" s="679" t="s">
        <v>60</v>
      </c>
      <c r="E69" s="680" t="s">
        <v>303</v>
      </c>
      <c r="F69" s="681"/>
      <c r="G69" s="682" t="e">
        <v>#N/A</v>
      </c>
      <c r="H69" s="33"/>
      <c r="K69" s="683" t="str">
        <f>Print_Mois!V445</f>
        <v>Frais postaux</v>
      </c>
    </row>
    <row r="70" spans="1:11" ht="15" customHeight="1">
      <c r="A70" s="690" t="s">
        <v>3370</v>
      </c>
      <c r="B70" s="678" t="s">
        <v>879</v>
      </c>
      <c r="C70" s="679" t="s">
        <v>1321</v>
      </c>
      <c r="D70" s="679" t="s">
        <v>60</v>
      </c>
      <c r="E70" s="680" t="s">
        <v>303</v>
      </c>
      <c r="F70" s="681"/>
      <c r="G70" s="682" t="s">
        <v>2</v>
      </c>
      <c r="H70" s="33"/>
      <c r="K70" s="683" t="s">
        <v>1336</v>
      </c>
    </row>
    <row r="71" spans="1:11" ht="15" customHeight="1">
      <c r="A71" s="690" t="s">
        <v>1564</v>
      </c>
      <c r="B71" s="678" t="s">
        <v>880</v>
      </c>
      <c r="C71" s="679" t="s">
        <v>1321</v>
      </c>
      <c r="D71" s="679" t="s">
        <v>60</v>
      </c>
      <c r="E71" s="680" t="s">
        <v>303</v>
      </c>
      <c r="F71" s="681"/>
      <c r="G71" s="682" t="s">
        <v>957</v>
      </c>
      <c r="H71" s="33"/>
      <c r="K71" s="683" t="str">
        <f>Print_Mois!V436</f>
        <v>Frais véhicules de cie</v>
      </c>
    </row>
    <row r="72" spans="1:11" ht="15" customHeight="1">
      <c r="A72" s="690" t="s">
        <v>1567</v>
      </c>
      <c r="B72" s="678" t="s">
        <v>1358</v>
      </c>
      <c r="C72" s="679" t="s">
        <v>1321</v>
      </c>
      <c r="D72" s="679" t="s">
        <v>60</v>
      </c>
      <c r="E72" s="680" t="s">
        <v>303</v>
      </c>
      <c r="F72" s="681"/>
      <c r="G72" s="680" t="s">
        <v>957</v>
      </c>
      <c r="H72" s="33"/>
      <c r="K72" s="683" t="s">
        <v>1337</v>
      </c>
    </row>
    <row r="73" spans="1:11" ht="15" customHeight="1">
      <c r="A73" s="690" t="s">
        <v>1570</v>
      </c>
      <c r="B73" s="678" t="s">
        <v>881</v>
      </c>
      <c r="C73" s="679" t="s">
        <v>1321</v>
      </c>
      <c r="D73" s="679" t="s">
        <v>60</v>
      </c>
      <c r="E73" s="680" t="s">
        <v>303</v>
      </c>
      <c r="F73" s="681"/>
      <c r="G73" s="682" t="s">
        <v>957</v>
      </c>
      <c r="H73" s="33"/>
      <c r="K73" s="683" t="str">
        <f>Print_Mois!V470</f>
        <v>Holdbacks</v>
      </c>
    </row>
    <row r="74" spans="1:11" ht="15" customHeight="1">
      <c r="A74" s="690" t="s">
        <v>3371</v>
      </c>
      <c r="B74" s="678" t="s">
        <v>882</v>
      </c>
      <c r="C74" s="679" t="s">
        <v>1321</v>
      </c>
      <c r="D74" s="679" t="s">
        <v>60</v>
      </c>
      <c r="E74" s="680" t="s">
        <v>303</v>
      </c>
      <c r="F74" s="681"/>
      <c r="G74" s="682" t="s">
        <v>2</v>
      </c>
      <c r="H74" s="33"/>
      <c r="K74" s="683" t="str">
        <f>Print_Mois!V459</f>
        <v>Honoraires</v>
      </c>
    </row>
    <row r="75" spans="1:11" ht="15" customHeight="1">
      <c r="A75" s="690" t="s">
        <v>1573</v>
      </c>
      <c r="B75" s="678" t="s">
        <v>883</v>
      </c>
      <c r="C75" s="679" t="s">
        <v>1321</v>
      </c>
      <c r="D75" s="679" t="s">
        <v>60</v>
      </c>
      <c r="E75" s="680" t="s">
        <v>303</v>
      </c>
      <c r="F75" s="681"/>
      <c r="G75" s="682" t="s">
        <v>2</v>
      </c>
      <c r="H75" s="33"/>
      <c r="K75" s="683" t="str">
        <f>Print_Mois!C308</f>
        <v>Huiles et Graisse</v>
      </c>
    </row>
    <row r="76" spans="1:11" ht="15" customHeight="1">
      <c r="A76" s="690" t="s">
        <v>1576</v>
      </c>
      <c r="B76" s="678" t="s">
        <v>1359</v>
      </c>
      <c r="C76" s="679" t="s">
        <v>1321</v>
      </c>
      <c r="D76" s="679" t="s">
        <v>60</v>
      </c>
      <c r="E76" s="680" t="s">
        <v>303</v>
      </c>
      <c r="F76" s="681"/>
      <c r="G76" s="680" t="s">
        <v>2</v>
      </c>
      <c r="H76" s="33"/>
      <c r="K76" s="683" t="s">
        <v>69</v>
      </c>
    </row>
    <row r="77" spans="1:11" ht="15" customHeight="1">
      <c r="A77" s="690" t="s">
        <v>1579</v>
      </c>
      <c r="B77" s="678" t="s">
        <v>1360</v>
      </c>
      <c r="C77" s="679" t="s">
        <v>1321</v>
      </c>
      <c r="D77" s="679" t="s">
        <v>60</v>
      </c>
      <c r="E77" s="680" t="s">
        <v>303</v>
      </c>
      <c r="F77" s="681"/>
      <c r="G77" s="680" t="s">
        <v>2</v>
      </c>
      <c r="H77" s="33"/>
      <c r="K77" s="683" t="s">
        <v>37</v>
      </c>
    </row>
    <row r="78" spans="1:11" ht="15" customHeight="1">
      <c r="A78" s="690" t="s">
        <v>1582</v>
      </c>
      <c r="B78" s="678" t="s">
        <v>1361</v>
      </c>
      <c r="C78" s="679" t="s">
        <v>1321</v>
      </c>
      <c r="D78" s="679" t="s">
        <v>60</v>
      </c>
      <c r="E78" s="680" t="s">
        <v>303</v>
      </c>
      <c r="F78" s="681"/>
      <c r="G78" s="680" t="s">
        <v>2</v>
      </c>
      <c r="H78" s="33"/>
      <c r="K78" s="683" t="s">
        <v>65</v>
      </c>
    </row>
    <row r="79" spans="1:11" ht="15" customHeight="1">
      <c r="A79" s="690" t="s">
        <v>1585</v>
      </c>
      <c r="B79" s="678" t="s">
        <v>884</v>
      </c>
      <c r="C79" s="679" t="s">
        <v>1321</v>
      </c>
      <c r="D79" s="679" t="s">
        <v>70</v>
      </c>
      <c r="E79" s="680" t="s">
        <v>303</v>
      </c>
      <c r="F79" s="681"/>
      <c r="G79" s="682" t="s">
        <v>2</v>
      </c>
      <c r="H79" s="33"/>
      <c r="K79" s="683" t="str">
        <f>Print_Mois!V437</f>
        <v>Informatique</v>
      </c>
    </row>
    <row r="80" spans="1:11" ht="15" customHeight="1">
      <c r="A80" s="690" t="s">
        <v>1588</v>
      </c>
      <c r="B80" s="678" t="s">
        <v>886</v>
      </c>
      <c r="C80" s="679" t="s">
        <v>1321</v>
      </c>
      <c r="D80" s="679" t="s">
        <v>70</v>
      </c>
      <c r="E80" s="680" t="s">
        <v>303</v>
      </c>
      <c r="F80" s="681"/>
      <c r="G80" s="682" t="s">
        <v>2</v>
      </c>
      <c r="H80" s="33"/>
      <c r="K80" s="683" t="s">
        <v>177</v>
      </c>
    </row>
    <row r="81" spans="1:11" ht="15" customHeight="1">
      <c r="A81" s="690" t="s">
        <v>3372</v>
      </c>
      <c r="B81" s="678" t="s">
        <v>884</v>
      </c>
      <c r="C81" s="679" t="s">
        <v>1321</v>
      </c>
      <c r="D81" s="679" t="s">
        <v>70</v>
      </c>
      <c r="E81" s="680" t="s">
        <v>303</v>
      </c>
      <c r="F81" s="681"/>
      <c r="G81" s="682" t="s">
        <v>957</v>
      </c>
      <c r="H81" s="33"/>
      <c r="K81" s="683" t="s">
        <v>117</v>
      </c>
    </row>
    <row r="82" spans="1:11" ht="15" customHeight="1">
      <c r="A82" s="690" t="s">
        <v>3927</v>
      </c>
      <c r="B82" s="678" t="s">
        <v>3926</v>
      </c>
      <c r="C82" s="679" t="s">
        <v>1321</v>
      </c>
      <c r="D82" s="679" t="s">
        <v>70</v>
      </c>
      <c r="E82" s="680" t="s">
        <v>303</v>
      </c>
      <c r="F82" s="681"/>
      <c r="G82" s="682" t="s">
        <v>957</v>
      </c>
      <c r="H82" s="33"/>
      <c r="K82" s="683"/>
    </row>
    <row r="83" spans="1:11" ht="15" customHeight="1">
      <c r="A83" s="1021" t="s">
        <v>3407</v>
      </c>
      <c r="B83" s="678" t="s">
        <v>3406</v>
      </c>
      <c r="C83" s="679" t="s">
        <v>1321</v>
      </c>
      <c r="D83" s="679" t="s">
        <v>70</v>
      </c>
      <c r="E83" s="680" t="s">
        <v>303</v>
      </c>
      <c r="F83" s="681"/>
      <c r="G83" s="682" t="s">
        <v>957</v>
      </c>
      <c r="H83" s="33"/>
      <c r="K83" s="683" t="str">
        <f>Print_Mois!V492</f>
        <v>Intérêts sur marge</v>
      </c>
    </row>
    <row r="84" spans="1:11" ht="15" customHeight="1">
      <c r="A84" s="1021" t="s">
        <v>3929</v>
      </c>
      <c r="B84" s="678" t="s">
        <v>3928</v>
      </c>
      <c r="C84" s="679" t="s">
        <v>1321</v>
      </c>
      <c r="D84" s="679" t="s">
        <v>70</v>
      </c>
      <c r="E84" s="680" t="s">
        <v>303</v>
      </c>
      <c r="F84" s="681"/>
      <c r="G84" s="682" t="s">
        <v>957</v>
      </c>
      <c r="H84" s="33"/>
      <c r="K84" s="683"/>
    </row>
    <row r="85" spans="1:11" ht="15" customHeight="1">
      <c r="A85" s="690" t="s">
        <v>1591</v>
      </c>
      <c r="B85" s="678" t="s">
        <v>887</v>
      </c>
      <c r="C85" s="679" t="s">
        <v>1321</v>
      </c>
      <c r="D85" s="679" t="s">
        <v>74</v>
      </c>
      <c r="E85" s="680" t="s">
        <v>303</v>
      </c>
      <c r="F85" s="681"/>
      <c r="G85" s="682" t="s">
        <v>2</v>
      </c>
      <c r="H85" s="33"/>
      <c r="K85" s="683" t="str">
        <f>Print_Mois!V493</f>
        <v>Intérêts sur prêt</v>
      </c>
    </row>
    <row r="86" spans="1:11" ht="15" customHeight="1">
      <c r="A86" s="690" t="s">
        <v>1594</v>
      </c>
      <c r="B86" s="678" t="s">
        <v>888</v>
      </c>
      <c r="C86" s="679" t="s">
        <v>1321</v>
      </c>
      <c r="D86" s="679" t="s">
        <v>74</v>
      </c>
      <c r="E86" s="680" t="s">
        <v>303</v>
      </c>
      <c r="F86" s="681"/>
      <c r="G86" s="682" t="s">
        <v>2</v>
      </c>
      <c r="H86" s="33"/>
      <c r="K86" s="683" t="s">
        <v>50</v>
      </c>
    </row>
    <row r="87" spans="1:11" ht="15" customHeight="1">
      <c r="A87" s="690" t="s">
        <v>1597</v>
      </c>
      <c r="B87" s="678" t="s">
        <v>889</v>
      </c>
      <c r="C87" s="679" t="s">
        <v>1321</v>
      </c>
      <c r="D87" s="679" t="s">
        <v>74</v>
      </c>
      <c r="E87" s="680" t="s">
        <v>303</v>
      </c>
      <c r="F87" s="681"/>
      <c r="G87" s="682" t="s">
        <v>2</v>
      </c>
      <c r="H87" s="33"/>
      <c r="K87" s="683" t="s">
        <v>46</v>
      </c>
    </row>
    <row r="88" spans="1:11" ht="15" customHeight="1">
      <c r="A88" s="690" t="s">
        <v>1600</v>
      </c>
      <c r="B88" s="678" t="s">
        <v>890</v>
      </c>
      <c r="C88" s="679" t="s">
        <v>1321</v>
      </c>
      <c r="D88" s="679" t="s">
        <v>74</v>
      </c>
      <c r="E88" s="680" t="s">
        <v>303</v>
      </c>
      <c r="F88" s="681"/>
      <c r="G88" s="682" t="e">
        <v>#N/A</v>
      </c>
      <c r="H88" s="33"/>
      <c r="K88" s="683" t="s">
        <v>48</v>
      </c>
    </row>
    <row r="89" spans="1:11" ht="15" customHeight="1">
      <c r="A89" s="690" t="s">
        <v>1603</v>
      </c>
      <c r="B89" s="678" t="s">
        <v>1362</v>
      </c>
      <c r="C89" s="679" t="s">
        <v>1321</v>
      </c>
      <c r="D89" s="679" t="s">
        <v>77</v>
      </c>
      <c r="E89" s="680" t="s">
        <v>303</v>
      </c>
      <c r="F89" s="681"/>
      <c r="G89" s="680" t="s">
        <v>2</v>
      </c>
      <c r="H89" s="33"/>
      <c r="K89" s="683" t="str">
        <f>Print_Mois!V461</f>
        <v>Location équipement</v>
      </c>
    </row>
    <row r="90" spans="1:11" ht="15" customHeight="1">
      <c r="A90" s="690" t="s">
        <v>1606</v>
      </c>
      <c r="B90" s="678" t="s">
        <v>1363</v>
      </c>
      <c r="C90" s="679" t="s">
        <v>1321</v>
      </c>
      <c r="D90" s="679" t="s">
        <v>77</v>
      </c>
      <c r="E90" s="680" t="s">
        <v>303</v>
      </c>
      <c r="F90" s="681"/>
      <c r="G90" s="680" t="s">
        <v>2</v>
      </c>
      <c r="H90" s="33"/>
      <c r="K90" s="683" t="str">
        <f>Print_Mois!V453</f>
        <v>Loyer</v>
      </c>
    </row>
    <row r="91" spans="1:11" ht="15" customHeight="1">
      <c r="A91" s="690" t="s">
        <v>1609</v>
      </c>
      <c r="B91" s="678" t="s">
        <v>891</v>
      </c>
      <c r="C91" s="679" t="s">
        <v>1321</v>
      </c>
      <c r="D91" s="679" t="s">
        <v>75</v>
      </c>
      <c r="E91" s="680" t="s">
        <v>303</v>
      </c>
      <c r="F91" s="681"/>
      <c r="G91" s="682" t="e">
        <v>#N/A</v>
      </c>
      <c r="H91" s="33"/>
      <c r="K91" s="683" t="str">
        <f>Print_Mois!C244</f>
        <v>M/O Carrosserie</v>
      </c>
    </row>
    <row r="92" spans="1:11" ht="15" customHeight="1">
      <c r="A92" s="690" t="s">
        <v>1612</v>
      </c>
      <c r="B92" s="678" t="s">
        <v>892</v>
      </c>
      <c r="C92" s="679" t="s">
        <v>1321</v>
      </c>
      <c r="D92" s="679" t="s">
        <v>75</v>
      </c>
      <c r="E92" s="680" t="s">
        <v>303</v>
      </c>
      <c r="F92" s="681"/>
      <c r="G92" s="682" t="e">
        <v>#N/A</v>
      </c>
      <c r="H92" s="33"/>
      <c r="K92" s="683" t="str">
        <f>Print_Mois!C172</f>
        <v>M/O Client</v>
      </c>
    </row>
    <row r="93" spans="1:11" ht="15" customHeight="1">
      <c r="A93" s="690" t="s">
        <v>1615</v>
      </c>
      <c r="B93" s="678" t="s">
        <v>893</v>
      </c>
      <c r="C93" s="679" t="s">
        <v>1321</v>
      </c>
      <c r="D93" s="679" t="s">
        <v>74</v>
      </c>
      <c r="E93" s="680" t="s">
        <v>303</v>
      </c>
      <c r="F93" s="681"/>
      <c r="G93" s="682" t="e">
        <v>#N/A</v>
      </c>
      <c r="H93" s="33"/>
      <c r="K93" s="683" t="str">
        <f>Print_Mois!C181</f>
        <v>M/O Esthétique</v>
      </c>
    </row>
    <row r="94" spans="1:11" ht="15" customHeight="1">
      <c r="A94" s="690" t="s">
        <v>1618</v>
      </c>
      <c r="B94" s="678" t="s">
        <v>894</v>
      </c>
      <c r="C94" s="679" t="s">
        <v>1321</v>
      </c>
      <c r="D94" s="679" t="s">
        <v>74</v>
      </c>
      <c r="E94" s="680" t="s">
        <v>303</v>
      </c>
      <c r="F94" s="681"/>
      <c r="G94" s="682" t="e">
        <v>#N/A</v>
      </c>
      <c r="H94" s="33"/>
      <c r="K94" s="683" t="str">
        <f>+Print_Mois!C247</f>
        <v>M/O Esthétique Carr.</v>
      </c>
    </row>
    <row r="95" spans="1:11" ht="15" customHeight="1">
      <c r="A95" s="690" t="s">
        <v>1621</v>
      </c>
      <c r="B95" s="678" t="s">
        <v>895</v>
      </c>
      <c r="C95" s="679" t="s">
        <v>1321</v>
      </c>
      <c r="D95" s="679" t="s">
        <v>76</v>
      </c>
      <c r="E95" s="680" t="s">
        <v>303</v>
      </c>
      <c r="F95" s="681"/>
      <c r="G95" s="682" t="e">
        <v>#N/A</v>
      </c>
      <c r="H95" s="33"/>
      <c r="K95" s="683" t="str">
        <f>Print_Mois!C175</f>
        <v>M/O Garantie</v>
      </c>
    </row>
    <row r="96" spans="1:11" ht="15" customHeight="1">
      <c r="A96" s="690" t="s">
        <v>1624</v>
      </c>
      <c r="B96" s="678" t="s">
        <v>896</v>
      </c>
      <c r="C96" s="679" t="s">
        <v>1321</v>
      </c>
      <c r="D96" s="679" t="s">
        <v>76</v>
      </c>
      <c r="E96" s="680" t="s">
        <v>303</v>
      </c>
      <c r="F96" s="681"/>
      <c r="G96" s="682" t="e">
        <v>#N/A</v>
      </c>
      <c r="H96" s="33"/>
      <c r="K96" s="683" t="str">
        <f>Print_Mois!C178</f>
        <v>M/O Interne</v>
      </c>
    </row>
    <row r="97" spans="1:11" ht="15" customHeight="1">
      <c r="A97" s="690" t="s">
        <v>1627</v>
      </c>
      <c r="B97" s="678" t="s">
        <v>897</v>
      </c>
      <c r="C97" s="679" t="s">
        <v>1321</v>
      </c>
      <c r="D97" s="679" t="s">
        <v>79</v>
      </c>
      <c r="E97" s="680" t="s">
        <v>303</v>
      </c>
      <c r="F97" s="681"/>
      <c r="G97" s="682" t="e">
        <v>#N/A</v>
      </c>
      <c r="H97" s="33"/>
      <c r="K97" s="683" t="s">
        <v>26</v>
      </c>
    </row>
    <row r="98" spans="1:11" ht="15" customHeight="1">
      <c r="A98" s="690" t="s">
        <v>1630</v>
      </c>
      <c r="B98" s="678" t="s">
        <v>898</v>
      </c>
      <c r="C98" s="679" t="s">
        <v>1321</v>
      </c>
      <c r="D98" s="679" t="s">
        <v>79</v>
      </c>
      <c r="E98" s="680" t="s">
        <v>303</v>
      </c>
      <c r="F98" s="681"/>
      <c r="G98" s="682" t="e">
        <v>#N/A</v>
      </c>
      <c r="H98" s="33"/>
      <c r="K98" s="683" t="s">
        <v>1339</v>
      </c>
    </row>
    <row r="99" spans="1:11" ht="15" customHeight="1">
      <c r="A99" s="690" t="s">
        <v>899</v>
      </c>
      <c r="B99" s="678" t="s">
        <v>3320</v>
      </c>
      <c r="C99" s="679" t="s">
        <v>1321</v>
      </c>
      <c r="D99" s="679" t="s">
        <v>82</v>
      </c>
      <c r="E99" s="680" t="s">
        <v>303</v>
      </c>
      <c r="F99" s="681"/>
      <c r="G99" s="682" t="s">
        <v>963</v>
      </c>
      <c r="H99" s="33"/>
      <c r="K99" s="683" t="s">
        <v>75</v>
      </c>
    </row>
    <row r="100" spans="1:11" ht="15" customHeight="1">
      <c r="A100" s="690" t="s">
        <v>3373</v>
      </c>
      <c r="B100" s="678" t="s">
        <v>3321</v>
      </c>
      <c r="C100" s="679" t="s">
        <v>1321</v>
      </c>
      <c r="D100" s="679" t="s">
        <v>82</v>
      </c>
      <c r="E100" s="680" t="s">
        <v>303</v>
      </c>
      <c r="F100" s="681"/>
      <c r="G100" s="682" t="s">
        <v>7</v>
      </c>
      <c r="H100" s="33"/>
      <c r="K100" s="683" t="str">
        <f>Print_Mois!C95</f>
        <v>Non Certifié</v>
      </c>
    </row>
    <row r="101" spans="1:11" ht="15" customHeight="1">
      <c r="A101" s="690" t="s">
        <v>1635</v>
      </c>
      <c r="B101" s="678" t="s">
        <v>900</v>
      </c>
      <c r="C101" s="679" t="s">
        <v>1321</v>
      </c>
      <c r="D101" s="679" t="s">
        <v>42</v>
      </c>
      <c r="E101" s="680" t="s">
        <v>303</v>
      </c>
      <c r="F101" s="681"/>
      <c r="G101" s="682" t="e">
        <v>#N/A</v>
      </c>
      <c r="H101" s="33"/>
      <c r="K101" s="683"/>
    </row>
    <row r="102" spans="1:11" ht="15" customHeight="1">
      <c r="A102" s="690" t="s">
        <v>1638</v>
      </c>
      <c r="B102" s="678" t="s">
        <v>721</v>
      </c>
      <c r="C102" s="679"/>
      <c r="D102" s="679"/>
      <c r="E102" s="680"/>
      <c r="F102" s="681"/>
      <c r="G102" s="682" t="e">
        <v>#N/A</v>
      </c>
      <c r="H102" s="33"/>
      <c r="K102" s="683" t="str">
        <f>Print_Mois!C297</f>
        <v>P/A Garantie</v>
      </c>
    </row>
    <row r="103" spans="1:11" ht="15" customHeight="1">
      <c r="A103" s="690" t="s">
        <v>903</v>
      </c>
      <c r="B103" s="678" t="s">
        <v>901</v>
      </c>
      <c r="C103" s="679" t="s">
        <v>1321</v>
      </c>
      <c r="D103" s="679" t="s">
        <v>47</v>
      </c>
      <c r="E103" s="680" t="s">
        <v>303</v>
      </c>
      <c r="F103" s="681"/>
      <c r="G103" s="682" t="e">
        <v>#N/A</v>
      </c>
      <c r="H103" s="33"/>
      <c r="K103" s="683" t="str">
        <f>Print_Mois!V443</f>
        <v>Papeterie</v>
      </c>
    </row>
    <row r="104" spans="1:11" ht="15" customHeight="1">
      <c r="A104" s="690" t="s">
        <v>905</v>
      </c>
      <c r="B104" s="678" t="s">
        <v>904</v>
      </c>
      <c r="C104" s="679" t="s">
        <v>1321</v>
      </c>
      <c r="D104" s="679" t="s">
        <v>49</v>
      </c>
      <c r="E104" s="680" t="s">
        <v>303</v>
      </c>
      <c r="F104" s="681"/>
      <c r="G104" s="682" t="e">
        <v>#N/A</v>
      </c>
      <c r="H104" s="33"/>
      <c r="K104" s="683" t="str">
        <f>Print_Mois!C296</f>
        <v>Pièces Ro Carrosserie</v>
      </c>
    </row>
    <row r="105" spans="1:11" ht="15" customHeight="1">
      <c r="A105" s="690" t="s">
        <v>3374</v>
      </c>
      <c r="B105" s="678" t="s">
        <v>3313</v>
      </c>
      <c r="C105" s="679" t="s">
        <v>1321</v>
      </c>
      <c r="D105" s="679" t="s">
        <v>57</v>
      </c>
      <c r="E105" s="680" t="s">
        <v>303</v>
      </c>
      <c r="F105" s="681"/>
      <c r="G105" s="682" t="e">
        <v>#N/A</v>
      </c>
      <c r="H105" s="33"/>
      <c r="K105" s="683" t="str">
        <f>Print_Mois!C295</f>
        <v>Pièces Ro Clients</v>
      </c>
    </row>
    <row r="106" spans="1:11" ht="15" customHeight="1">
      <c r="A106" s="690" t="s">
        <v>3375</v>
      </c>
      <c r="B106" s="678" t="s">
        <v>3314</v>
      </c>
      <c r="C106" s="679" t="s">
        <v>1321</v>
      </c>
      <c r="D106" s="679" t="s">
        <v>57</v>
      </c>
      <c r="E106" s="680" t="s">
        <v>303</v>
      </c>
      <c r="F106" s="681"/>
      <c r="G106" s="682" t="e">
        <v>#N/A</v>
      </c>
      <c r="H106" s="33"/>
      <c r="K106" s="683" t="s">
        <v>28</v>
      </c>
    </row>
    <row r="107" spans="1:11" ht="15" customHeight="1">
      <c r="A107" s="690" t="s">
        <v>907</v>
      </c>
      <c r="B107" s="678" t="s">
        <v>906</v>
      </c>
      <c r="C107" s="679" t="s">
        <v>1321</v>
      </c>
      <c r="D107" s="679" t="s">
        <v>28</v>
      </c>
      <c r="E107" s="680" t="s">
        <v>303</v>
      </c>
      <c r="F107" s="681"/>
      <c r="G107" s="682" t="e">
        <v>#N/A</v>
      </c>
      <c r="H107" s="33"/>
      <c r="K107" s="683" t="str">
        <f>Print_Mois!V471</f>
        <v>Programme neuf 1</v>
      </c>
    </row>
    <row r="108" spans="1:11" ht="15" customHeight="1">
      <c r="A108" s="678" t="s">
        <v>909</v>
      </c>
      <c r="B108" s="678" t="s">
        <v>908</v>
      </c>
      <c r="C108" s="679" t="s">
        <v>1321</v>
      </c>
      <c r="D108" s="679" t="s">
        <v>35</v>
      </c>
      <c r="E108" s="680" t="s">
        <v>303</v>
      </c>
      <c r="F108" s="680"/>
      <c r="G108" s="682" t="s">
        <v>963</v>
      </c>
      <c r="H108" s="33"/>
      <c r="K108" s="683" t="s">
        <v>41</v>
      </c>
    </row>
    <row r="109" spans="1:11" ht="15" customHeight="1">
      <c r="A109" s="678" t="s">
        <v>911</v>
      </c>
      <c r="B109" s="678" t="s">
        <v>910</v>
      </c>
      <c r="C109" s="679" t="s">
        <v>1321</v>
      </c>
      <c r="D109" s="679" t="s">
        <v>35</v>
      </c>
      <c r="E109" s="680" t="s">
        <v>303</v>
      </c>
      <c r="F109" s="680"/>
      <c r="G109" s="682" t="s">
        <v>7</v>
      </c>
      <c r="H109" s="33"/>
      <c r="K109" s="683"/>
    </row>
    <row r="110" spans="1:11" ht="15" customHeight="1">
      <c r="A110" s="678" t="s">
        <v>1652</v>
      </c>
      <c r="B110" s="678" t="s">
        <v>912</v>
      </c>
      <c r="C110" s="679" t="s">
        <v>1321</v>
      </c>
      <c r="D110" s="679" t="s">
        <v>35</v>
      </c>
      <c r="E110" s="680" t="s">
        <v>303</v>
      </c>
      <c r="F110" s="680"/>
      <c r="G110" s="682" t="e">
        <v>#N/A</v>
      </c>
      <c r="H110" s="33"/>
      <c r="K110" s="683" t="str">
        <f>Print_Mois!V472</f>
        <v>Programme neuf 2</v>
      </c>
    </row>
    <row r="111" spans="1:11" ht="15" customHeight="1">
      <c r="A111" s="678" t="s">
        <v>914</v>
      </c>
      <c r="B111" s="678" t="s">
        <v>913</v>
      </c>
      <c r="C111" s="679" t="s">
        <v>1321</v>
      </c>
      <c r="D111" s="679" t="s">
        <v>35</v>
      </c>
      <c r="E111" s="680" t="s">
        <v>303</v>
      </c>
      <c r="F111" s="680"/>
      <c r="G111" s="682" t="s">
        <v>963</v>
      </c>
      <c r="H111" s="33"/>
      <c r="K111" s="683" t="str">
        <f>Print_Mois!V473</f>
        <v>Programme neuf 3</v>
      </c>
    </row>
    <row r="112" spans="1:11" ht="15" customHeight="1">
      <c r="A112" s="678" t="s">
        <v>1657</v>
      </c>
      <c r="B112" s="678" t="s">
        <v>915</v>
      </c>
      <c r="C112" s="679" t="s">
        <v>1321</v>
      </c>
      <c r="D112" s="679" t="s">
        <v>35</v>
      </c>
      <c r="E112" s="680" t="s">
        <v>303</v>
      </c>
      <c r="F112" s="680"/>
      <c r="G112" s="682" t="s">
        <v>7</v>
      </c>
      <c r="H112" s="33"/>
      <c r="K112" s="683" t="s">
        <v>116</v>
      </c>
    </row>
    <row r="113" spans="1:11" ht="15" customHeight="1">
      <c r="A113" s="678" t="s">
        <v>1660</v>
      </c>
      <c r="B113" s="678" t="s">
        <v>916</v>
      </c>
      <c r="C113" s="679" t="s">
        <v>1321</v>
      </c>
      <c r="D113" s="679" t="s">
        <v>35</v>
      </c>
      <c r="E113" s="680" t="s">
        <v>303</v>
      </c>
      <c r="F113" s="680"/>
      <c r="G113" s="682" t="e">
        <v>#N/A</v>
      </c>
      <c r="H113" s="33"/>
      <c r="K113" s="683" t="s">
        <v>129</v>
      </c>
    </row>
    <row r="114" spans="1:11" ht="15" customHeight="1">
      <c r="A114" s="678" t="s">
        <v>1663</v>
      </c>
      <c r="B114" s="678" t="s">
        <v>917</v>
      </c>
      <c r="C114" s="679" t="s">
        <v>1321</v>
      </c>
      <c r="D114" s="679" t="s">
        <v>43</v>
      </c>
      <c r="E114" s="680" t="s">
        <v>303</v>
      </c>
      <c r="F114" s="680"/>
      <c r="G114" s="682" t="e">
        <v>#N/A</v>
      </c>
      <c r="H114" s="33"/>
      <c r="K114" s="683" t="str">
        <f>Print_Mois!C19</f>
        <v>Rachat bail</v>
      </c>
    </row>
    <row r="115" spans="1:11" ht="15" customHeight="1">
      <c r="A115" s="678" t="s">
        <v>918</v>
      </c>
      <c r="B115" s="678" t="s">
        <v>919</v>
      </c>
      <c r="C115" s="679" t="s">
        <v>1321</v>
      </c>
      <c r="D115" s="679" t="s">
        <v>43</v>
      </c>
      <c r="E115" s="680" t="s">
        <v>303</v>
      </c>
      <c r="F115" s="680"/>
      <c r="G115" s="682" t="e">
        <v>#N/A</v>
      </c>
      <c r="H115" s="33"/>
      <c r="K115" s="683" t="s">
        <v>42</v>
      </c>
    </row>
    <row r="116" spans="1:11" ht="15" customHeight="1">
      <c r="A116" s="690" t="s">
        <v>1668</v>
      </c>
      <c r="B116" s="678" t="s">
        <v>920</v>
      </c>
      <c r="C116" s="679" t="s">
        <v>1321</v>
      </c>
      <c r="D116" s="679" t="s">
        <v>43</v>
      </c>
      <c r="E116" s="680" t="s">
        <v>303</v>
      </c>
      <c r="F116" s="681"/>
      <c r="G116" s="682" t="e">
        <v>#N/A</v>
      </c>
      <c r="H116" s="33"/>
      <c r="K116" s="683" t="s">
        <v>38</v>
      </c>
    </row>
    <row r="117" spans="1:11" ht="15" customHeight="1">
      <c r="A117" s="690" t="s">
        <v>1671</v>
      </c>
      <c r="B117" s="678" t="s">
        <v>921</v>
      </c>
      <c r="C117" s="679" t="s">
        <v>1321</v>
      </c>
      <c r="D117" s="679" t="s">
        <v>43</v>
      </c>
      <c r="E117" s="680" t="s">
        <v>303</v>
      </c>
      <c r="F117" s="681"/>
      <c r="G117" s="682" t="s">
        <v>963</v>
      </c>
      <c r="H117" s="33"/>
      <c r="K117" s="683" t="s">
        <v>29</v>
      </c>
    </row>
    <row r="118" spans="1:11" ht="15" customHeight="1">
      <c r="A118" s="690" t="s">
        <v>1674</v>
      </c>
      <c r="B118" s="678" t="s">
        <v>732</v>
      </c>
      <c r="C118" s="679"/>
      <c r="D118" s="679"/>
      <c r="E118" s="680"/>
      <c r="F118" s="681"/>
      <c r="G118" s="682" t="s">
        <v>816</v>
      </c>
      <c r="H118" s="33"/>
      <c r="K118" s="683" t="s">
        <v>29</v>
      </c>
    </row>
    <row r="119" spans="1:11" ht="15" customHeight="1">
      <c r="A119" s="690" t="s">
        <v>923</v>
      </c>
      <c r="B119" s="678" t="s">
        <v>922</v>
      </c>
      <c r="C119" s="679" t="s">
        <v>1321</v>
      </c>
      <c r="D119" s="679" t="s">
        <v>33</v>
      </c>
      <c r="E119" s="680" t="s">
        <v>303</v>
      </c>
      <c r="F119" s="681"/>
      <c r="G119" s="682" t="s">
        <v>7</v>
      </c>
      <c r="H119" s="33"/>
      <c r="K119" s="683" t="s">
        <v>36</v>
      </c>
    </row>
    <row r="120" spans="1:11" ht="15" customHeight="1">
      <c r="A120" s="690" t="s">
        <v>1679</v>
      </c>
      <c r="B120" s="678" t="s">
        <v>924</v>
      </c>
      <c r="C120" s="679" t="s">
        <v>1321</v>
      </c>
      <c r="D120" s="679" t="s">
        <v>43</v>
      </c>
      <c r="E120" s="680" t="s">
        <v>303</v>
      </c>
      <c r="F120" s="681"/>
      <c r="G120" s="682" t="s">
        <v>963</v>
      </c>
      <c r="H120" s="33"/>
      <c r="K120" s="683" t="s">
        <v>34</v>
      </c>
    </row>
    <row r="121" spans="1:11" ht="15" customHeight="1">
      <c r="A121" s="690" t="s">
        <v>928</v>
      </c>
      <c r="B121" s="678" t="s">
        <v>925</v>
      </c>
      <c r="C121" s="679" t="s">
        <v>1321</v>
      </c>
      <c r="D121" s="679" t="s">
        <v>57</v>
      </c>
      <c r="E121" s="680" t="s">
        <v>303</v>
      </c>
      <c r="F121" s="681"/>
      <c r="G121" s="682" t="s">
        <v>7</v>
      </c>
      <c r="H121" s="33"/>
      <c r="K121" s="683" t="s">
        <v>30</v>
      </c>
    </row>
    <row r="122" spans="1:11" ht="15" customHeight="1">
      <c r="A122" s="690" t="s">
        <v>3376</v>
      </c>
      <c r="B122" s="678" t="s">
        <v>1365</v>
      </c>
      <c r="C122" s="679" t="s">
        <v>1321</v>
      </c>
      <c r="D122" s="679" t="s">
        <v>57</v>
      </c>
      <c r="E122" s="680" t="s">
        <v>303</v>
      </c>
      <c r="F122" s="681"/>
      <c r="G122" s="682" t="e">
        <v>#N/A</v>
      </c>
      <c r="H122" s="33"/>
      <c r="K122" s="683" t="s">
        <v>189</v>
      </c>
    </row>
    <row r="123" spans="1:11" ht="15" customHeight="1">
      <c r="A123" s="690" t="s">
        <v>1684</v>
      </c>
      <c r="B123" s="678" t="s">
        <v>927</v>
      </c>
      <c r="C123" s="679" t="s">
        <v>1321</v>
      </c>
      <c r="D123" s="679" t="s">
        <v>57</v>
      </c>
      <c r="E123" s="680" t="s">
        <v>303</v>
      </c>
      <c r="F123" s="681"/>
      <c r="G123" s="682" t="e">
        <v>#N/A</v>
      </c>
      <c r="H123" s="33"/>
      <c r="K123" s="683" t="s">
        <v>40</v>
      </c>
    </row>
    <row r="124" spans="1:11" ht="15" customHeight="1">
      <c r="A124" s="690" t="s">
        <v>3377</v>
      </c>
      <c r="B124" s="678" t="s">
        <v>1366</v>
      </c>
      <c r="C124" s="679" t="s">
        <v>1321</v>
      </c>
      <c r="D124" s="679" t="s">
        <v>41</v>
      </c>
      <c r="E124" s="680" t="s">
        <v>303</v>
      </c>
      <c r="F124" s="681"/>
      <c r="G124" s="682" t="e">
        <v>#N/A</v>
      </c>
      <c r="H124" s="33"/>
      <c r="K124" s="683" t="str">
        <f>Print_Mois!V460</f>
        <v>Réparation équipement</v>
      </c>
    </row>
    <row r="125" spans="1:11" ht="15" customHeight="1">
      <c r="A125" s="690" t="s">
        <v>1687</v>
      </c>
      <c r="B125" s="678" t="s">
        <v>930</v>
      </c>
      <c r="C125" s="679" t="s">
        <v>1321</v>
      </c>
      <c r="D125" s="679" t="s">
        <v>57</v>
      </c>
      <c r="E125" s="680" t="s">
        <v>303</v>
      </c>
      <c r="F125" s="681"/>
      <c r="G125" s="682" t="s">
        <v>963</v>
      </c>
      <c r="H125" s="33"/>
      <c r="K125" s="683" t="s">
        <v>1348</v>
      </c>
    </row>
    <row r="126" spans="1:11" ht="15" customHeight="1">
      <c r="A126" s="690" t="s">
        <v>1690</v>
      </c>
      <c r="B126" s="678" t="s">
        <v>733</v>
      </c>
      <c r="C126" s="679"/>
      <c r="D126" s="679"/>
      <c r="E126" s="680" t="s">
        <v>303</v>
      </c>
      <c r="F126" s="681"/>
      <c r="G126" s="682" t="e">
        <v>#N/A</v>
      </c>
      <c r="H126" s="33"/>
      <c r="K126" s="683" t="str">
        <f>Print_Mois!C23</f>
        <v>Rev. Autres</v>
      </c>
    </row>
    <row r="127" spans="1:11" ht="15" customHeight="1">
      <c r="A127" s="690" t="s">
        <v>3337</v>
      </c>
      <c r="B127" s="678" t="s">
        <v>3338</v>
      </c>
      <c r="C127" s="679" t="s">
        <v>1321</v>
      </c>
      <c r="D127" s="679" t="s">
        <v>55</v>
      </c>
      <c r="E127" s="680" t="s">
        <v>303</v>
      </c>
      <c r="F127" s="681"/>
      <c r="G127" s="682" t="s">
        <v>7</v>
      </c>
      <c r="H127" s="33"/>
      <c r="K127" s="683" t="str">
        <f>Print_Mois!C24</f>
        <v>Total F&amp;I</v>
      </c>
    </row>
    <row r="128" spans="1:11" ht="15" customHeight="1">
      <c r="A128" s="690" t="s">
        <v>932</v>
      </c>
      <c r="B128" s="678" t="s">
        <v>931</v>
      </c>
      <c r="C128" s="679" t="s">
        <v>1321</v>
      </c>
      <c r="D128" s="679" t="s">
        <v>55</v>
      </c>
      <c r="E128" s="680" t="s">
        <v>303</v>
      </c>
      <c r="F128" s="681"/>
      <c r="G128" s="682" t="s">
        <v>963</v>
      </c>
      <c r="H128" s="33"/>
      <c r="K128" s="683" t="str">
        <f>Print_Mois!C21</f>
        <v>Rev. Finances</v>
      </c>
    </row>
    <row r="129" spans="1:29" ht="15" customHeight="1">
      <c r="A129" s="690" t="s">
        <v>1695</v>
      </c>
      <c r="B129" s="678" t="s">
        <v>933</v>
      </c>
      <c r="C129" s="679" t="s">
        <v>1321</v>
      </c>
      <c r="D129" s="679" t="s">
        <v>55</v>
      </c>
      <c r="E129" s="680" t="s">
        <v>303</v>
      </c>
      <c r="F129" s="681"/>
      <c r="G129" s="682" t="s">
        <v>7</v>
      </c>
      <c r="H129" s="33"/>
      <c r="K129" s="683" t="str">
        <f>Print_Mois!C22</f>
        <v>Rev. Protections</v>
      </c>
    </row>
    <row r="130" spans="1:29" ht="15" customHeight="1">
      <c r="A130" s="690" t="s">
        <v>1698</v>
      </c>
      <c r="B130" s="678" t="s">
        <v>734</v>
      </c>
      <c r="C130" s="679"/>
      <c r="D130" s="679"/>
      <c r="E130" s="680"/>
      <c r="F130" s="681"/>
      <c r="G130" s="682" t="s">
        <v>816</v>
      </c>
      <c r="H130" s="33"/>
      <c r="K130" s="683" t="str">
        <f>Print_Mois!V469</f>
        <v>Revenus autres</v>
      </c>
    </row>
    <row r="131" spans="1:29" ht="15" customHeight="1">
      <c r="A131" s="690" t="s">
        <v>1701</v>
      </c>
      <c r="B131" s="678" t="s">
        <v>934</v>
      </c>
      <c r="C131" s="679" t="s">
        <v>1321</v>
      </c>
      <c r="D131" s="679" t="s">
        <v>55</v>
      </c>
      <c r="E131" s="680" t="s">
        <v>303</v>
      </c>
      <c r="F131" s="681"/>
      <c r="G131" s="682" t="e">
        <v>#N/A</v>
      </c>
      <c r="H131" s="33"/>
      <c r="K131" s="683" t="s">
        <v>53</v>
      </c>
    </row>
    <row r="132" spans="1:29" ht="15" customHeight="1">
      <c r="A132" s="690" t="s">
        <v>1704</v>
      </c>
      <c r="B132" s="678" t="s">
        <v>935</v>
      </c>
      <c r="C132" s="679" t="s">
        <v>1321</v>
      </c>
      <c r="D132" s="679" t="s">
        <v>55</v>
      </c>
      <c r="E132" s="680" t="s">
        <v>303</v>
      </c>
      <c r="F132" s="681"/>
      <c r="G132" s="682" t="e">
        <v>#N/A</v>
      </c>
      <c r="H132" s="33"/>
      <c r="K132" s="683" t="str">
        <f>Print_Mois!V423</f>
        <v>Salaires autres</v>
      </c>
    </row>
    <row r="133" spans="1:29" ht="15" customHeight="1">
      <c r="A133" s="690" t="s">
        <v>1707</v>
      </c>
      <c r="B133" s="678" t="s">
        <v>936</v>
      </c>
      <c r="C133" s="679" t="s">
        <v>1321</v>
      </c>
      <c r="D133" s="679" t="s">
        <v>55</v>
      </c>
      <c r="E133" s="680" t="s">
        <v>303</v>
      </c>
      <c r="F133" s="681"/>
      <c r="G133" s="682" t="s">
        <v>963</v>
      </c>
      <c r="H133" s="33"/>
      <c r="K133" s="683" t="str">
        <f>Print_Mois!V421</f>
        <v>Salaires cadres</v>
      </c>
    </row>
    <row r="134" spans="1:29" ht="15" customHeight="1">
      <c r="A134" s="690" t="s">
        <v>1710</v>
      </c>
      <c r="B134" s="678" t="s">
        <v>735</v>
      </c>
      <c r="C134" s="679"/>
      <c r="D134" s="679"/>
      <c r="E134" s="680"/>
      <c r="F134" s="681"/>
      <c r="G134" s="682" t="s">
        <v>816</v>
      </c>
      <c r="H134" s="33"/>
      <c r="K134" s="683" t="str">
        <f>Print_Mois!C43</f>
        <v>Salaires commis</v>
      </c>
    </row>
    <row r="135" spans="1:29" ht="15" customHeight="1">
      <c r="A135" s="690" t="s">
        <v>1713</v>
      </c>
      <c r="B135" s="678" t="s">
        <v>736</v>
      </c>
      <c r="C135" s="679"/>
      <c r="D135" s="679"/>
      <c r="E135" s="680"/>
      <c r="F135" s="681"/>
      <c r="G135" s="682" t="s">
        <v>816</v>
      </c>
      <c r="H135" s="33"/>
      <c r="K135" s="683" t="str">
        <f>Print_Mois!V422</f>
        <v>Salaires commis</v>
      </c>
    </row>
    <row r="136" spans="1:29" ht="15" customHeight="1">
      <c r="A136" s="690" t="s">
        <v>938</v>
      </c>
      <c r="B136" s="678" t="s">
        <v>937</v>
      </c>
      <c r="C136" s="679" t="s">
        <v>1321</v>
      </c>
      <c r="D136" s="679" t="s">
        <v>39</v>
      </c>
      <c r="E136" s="680" t="s">
        <v>303</v>
      </c>
      <c r="F136" s="681"/>
      <c r="G136" s="682" t="s">
        <v>7</v>
      </c>
      <c r="H136" s="33"/>
      <c r="K136" s="683" t="str">
        <f>Print_Mois!V428</f>
        <v>Salaires en absences</v>
      </c>
    </row>
    <row r="137" spans="1:29" ht="15" customHeight="1">
      <c r="A137" s="690" t="s">
        <v>1718</v>
      </c>
      <c r="B137" s="678" t="s">
        <v>737</v>
      </c>
      <c r="C137" s="679"/>
      <c r="D137" s="679"/>
      <c r="E137" s="680"/>
      <c r="F137" s="681"/>
      <c r="G137" s="682" t="s">
        <v>816</v>
      </c>
      <c r="H137" s="33"/>
      <c r="K137" s="683" t="str">
        <f>Print_Mois!V420</f>
        <v>Salaires propriétaire</v>
      </c>
    </row>
    <row r="138" spans="1:29" ht="15" customHeight="1">
      <c r="A138" s="690" t="s">
        <v>1721</v>
      </c>
      <c r="B138" s="678" t="s">
        <v>738</v>
      </c>
      <c r="C138" s="679"/>
      <c r="D138" s="679"/>
      <c r="E138" s="680"/>
      <c r="F138" s="681"/>
      <c r="G138" s="682" t="s">
        <v>816</v>
      </c>
      <c r="H138" s="33"/>
      <c r="K138" s="683" t="str">
        <f>Print_Mois!V424</f>
        <v>Salaires spécialistes</v>
      </c>
    </row>
    <row r="139" spans="1:29" ht="15" customHeight="1">
      <c r="A139" s="690" t="s">
        <v>1724</v>
      </c>
      <c r="B139" s="678" t="s">
        <v>739</v>
      </c>
      <c r="C139" s="679"/>
      <c r="D139" s="679"/>
      <c r="E139" s="680"/>
      <c r="F139" s="681"/>
      <c r="G139" s="682" t="s">
        <v>816</v>
      </c>
      <c r="H139" s="33"/>
      <c r="K139" s="683" t="str">
        <f>Print_Mois!C34</f>
        <v>Service gratuit 1</v>
      </c>
    </row>
    <row r="140" spans="1:29" ht="15" customHeight="1">
      <c r="A140" s="690" t="s">
        <v>1727</v>
      </c>
      <c r="B140" s="678" t="s">
        <v>740</v>
      </c>
      <c r="C140" s="679"/>
      <c r="D140" s="679"/>
      <c r="E140" s="680"/>
      <c r="F140" s="681"/>
      <c r="G140" s="682" t="s">
        <v>816</v>
      </c>
      <c r="H140" s="33"/>
      <c r="K140" s="683" t="str">
        <f>Print_Mois!V435</f>
        <v>Service gratuit 2</v>
      </c>
    </row>
    <row r="141" spans="1:29" ht="15" customHeight="1">
      <c r="A141" s="690" t="s">
        <v>940</v>
      </c>
      <c r="B141" s="678" t="s">
        <v>939</v>
      </c>
      <c r="C141" s="679" t="s">
        <v>1321</v>
      </c>
      <c r="D141" s="679" t="s">
        <v>53</v>
      </c>
      <c r="E141" s="680" t="s">
        <v>303</v>
      </c>
      <c r="F141" s="681"/>
      <c r="G141" s="682" t="s">
        <v>963</v>
      </c>
      <c r="H141" s="33"/>
      <c r="I141" s="3"/>
      <c r="J141" s="3"/>
      <c r="K141" s="683" t="str">
        <f>Print_Mois!V439</f>
        <v>Services extérieurs</v>
      </c>
      <c r="L141" s="3"/>
      <c r="M141" s="3"/>
      <c r="P141" s="3"/>
      <c r="Q141" s="3"/>
      <c r="R141" s="3"/>
      <c r="S141" s="3"/>
      <c r="T141" s="3"/>
      <c r="U141" s="3"/>
      <c r="V141" s="3"/>
      <c r="W141" s="3"/>
      <c r="X141" s="3"/>
      <c r="Y141" s="3"/>
      <c r="Z141" s="3"/>
      <c r="AA141" s="3"/>
      <c r="AB141" s="3"/>
      <c r="AC141" s="3"/>
    </row>
    <row r="142" spans="1:29" ht="15" customHeight="1">
      <c r="A142" s="690" t="s">
        <v>3378</v>
      </c>
      <c r="B142" s="678" t="s">
        <v>941</v>
      </c>
      <c r="C142" s="679" t="s">
        <v>1321</v>
      </c>
      <c r="D142" s="679" t="s">
        <v>53</v>
      </c>
      <c r="E142" s="680" t="s">
        <v>303</v>
      </c>
      <c r="F142" s="681"/>
      <c r="G142" s="682" t="s">
        <v>7</v>
      </c>
      <c r="H142" s="33"/>
      <c r="K142" s="683" t="s">
        <v>58</v>
      </c>
    </row>
    <row r="143" spans="1:29" ht="15" customHeight="1">
      <c r="A143" s="690" t="s">
        <v>944</v>
      </c>
      <c r="B143" s="678" t="s">
        <v>943</v>
      </c>
      <c r="C143" s="679" t="s">
        <v>1321</v>
      </c>
      <c r="D143" s="679" t="s">
        <v>53</v>
      </c>
      <c r="E143" s="680" t="s">
        <v>303</v>
      </c>
      <c r="F143" s="681"/>
      <c r="G143" s="682" t="s">
        <v>963</v>
      </c>
      <c r="H143" s="33"/>
      <c r="K143" s="683" t="str">
        <f>Print_Mois!C188</f>
        <v>Sous-traitement</v>
      </c>
    </row>
    <row r="144" spans="1:29" ht="15" customHeight="1">
      <c r="A144" s="690" t="s">
        <v>1734</v>
      </c>
      <c r="B144" s="678" t="s">
        <v>945</v>
      </c>
      <c r="C144" s="679" t="s">
        <v>1321</v>
      </c>
      <c r="D144" s="679" t="s">
        <v>53</v>
      </c>
      <c r="E144" s="680" t="s">
        <v>303</v>
      </c>
      <c r="F144" s="681"/>
      <c r="G144" s="682" t="s">
        <v>7</v>
      </c>
      <c r="H144" s="33"/>
      <c r="K144" s="683" t="s">
        <v>129</v>
      </c>
    </row>
    <row r="145" spans="1:11" ht="15" customHeight="1">
      <c r="A145" s="690" t="s">
        <v>1737</v>
      </c>
      <c r="B145" s="678" t="s">
        <v>1367</v>
      </c>
      <c r="C145" s="679" t="s">
        <v>1321</v>
      </c>
      <c r="D145" s="679" t="s">
        <v>53</v>
      </c>
      <c r="E145" s="680" t="s">
        <v>303</v>
      </c>
      <c r="F145" s="681"/>
      <c r="G145" s="680" t="e">
        <v>#N/A</v>
      </c>
      <c r="H145" s="33"/>
      <c r="K145" s="683" t="s">
        <v>99</v>
      </c>
    </row>
    <row r="146" spans="1:11" ht="15" customHeight="1">
      <c r="A146" s="690" t="s">
        <v>1740</v>
      </c>
      <c r="B146" s="678" t="s">
        <v>946</v>
      </c>
      <c r="C146" s="679" t="s">
        <v>1321</v>
      </c>
      <c r="D146" s="679" t="s">
        <v>53</v>
      </c>
      <c r="E146" s="680" t="s">
        <v>303</v>
      </c>
      <c r="F146" s="681"/>
      <c r="G146" s="682" t="s">
        <v>963</v>
      </c>
      <c r="H146" s="33"/>
      <c r="K146" s="683" t="s">
        <v>206</v>
      </c>
    </row>
    <row r="147" spans="1:11" ht="15" customHeight="1">
      <c r="A147" s="690" t="s">
        <v>1743</v>
      </c>
      <c r="B147" s="678" t="s">
        <v>947</v>
      </c>
      <c r="C147" s="679" t="s">
        <v>1321</v>
      </c>
      <c r="D147" s="679" t="s">
        <v>53</v>
      </c>
      <c r="E147" s="680" t="s">
        <v>303</v>
      </c>
      <c r="F147" s="681"/>
      <c r="G147" s="682" t="s">
        <v>7</v>
      </c>
      <c r="H147" s="33"/>
      <c r="K147" s="683" t="s">
        <v>207</v>
      </c>
    </row>
    <row r="148" spans="1:11" ht="15" customHeight="1">
      <c r="A148" s="690" t="s">
        <v>742</v>
      </c>
      <c r="B148" s="678" t="s">
        <v>741</v>
      </c>
      <c r="C148" s="679"/>
      <c r="D148" s="679"/>
      <c r="E148" s="680"/>
      <c r="F148" s="681"/>
      <c r="G148" s="682" t="s">
        <v>816</v>
      </c>
      <c r="H148" s="33"/>
      <c r="K148" s="683" t="str">
        <f>Print_Mois!V456</f>
        <v>Taxe sur le capital</v>
      </c>
    </row>
    <row r="149" spans="1:11" ht="15" customHeight="1">
      <c r="A149" s="690" t="s">
        <v>949</v>
      </c>
      <c r="B149" s="678" t="s">
        <v>948</v>
      </c>
      <c r="C149" s="679" t="s">
        <v>1321</v>
      </c>
      <c r="D149" s="679" t="s">
        <v>57</v>
      </c>
      <c r="E149" s="680" t="s">
        <v>303</v>
      </c>
      <c r="F149" s="681"/>
      <c r="G149" s="682" t="s">
        <v>2</v>
      </c>
      <c r="H149" s="33"/>
      <c r="K149" s="683" t="s">
        <v>35</v>
      </c>
    </row>
    <row r="150" spans="1:11" ht="15" customHeight="1">
      <c r="A150" s="690" t="s">
        <v>3379</v>
      </c>
      <c r="B150" s="678" t="s">
        <v>950</v>
      </c>
      <c r="C150" s="679" t="s">
        <v>1321</v>
      </c>
      <c r="D150" s="679" t="s">
        <v>57</v>
      </c>
      <c r="E150" s="680" t="s">
        <v>303</v>
      </c>
      <c r="F150" s="681"/>
      <c r="G150" s="682" t="s">
        <v>963</v>
      </c>
      <c r="H150" s="33"/>
      <c r="K150" s="683" t="str">
        <f>Print_Mois!V444</f>
        <v>Téléphone</v>
      </c>
    </row>
    <row r="151" spans="1:11" ht="15" customHeight="1">
      <c r="A151" s="690" t="s">
        <v>744</v>
      </c>
      <c r="B151" s="678" t="s">
        <v>743</v>
      </c>
      <c r="C151" s="679"/>
      <c r="D151" s="679"/>
      <c r="E151" s="680"/>
      <c r="F151" s="681"/>
      <c r="G151" s="682" t="s">
        <v>816</v>
      </c>
      <c r="H151" s="33"/>
      <c r="K151" s="683" t="s">
        <v>56</v>
      </c>
    </row>
    <row r="152" spans="1:11" ht="15" customHeight="1">
      <c r="A152" s="690" t="s">
        <v>1750</v>
      </c>
      <c r="B152" s="678" t="s">
        <v>745</v>
      </c>
      <c r="C152" s="679"/>
      <c r="D152" s="679"/>
      <c r="E152" s="680"/>
      <c r="F152" s="681"/>
      <c r="G152" s="682" t="s">
        <v>816</v>
      </c>
      <c r="H152" s="33"/>
      <c r="K152" s="683" t="s">
        <v>136</v>
      </c>
    </row>
    <row r="153" spans="1:11" ht="15" customHeight="1">
      <c r="A153" s="690" t="s">
        <v>1753</v>
      </c>
      <c r="B153" s="678" t="s">
        <v>746</v>
      </c>
      <c r="C153" s="679"/>
      <c r="D153" s="679"/>
      <c r="E153" s="680"/>
      <c r="F153" s="681"/>
      <c r="G153" s="682" t="s">
        <v>816</v>
      </c>
      <c r="H153" s="33"/>
      <c r="K153" s="683" t="str">
        <f>Print_Mois!C100</f>
        <v>Ventes au Gros</v>
      </c>
    </row>
    <row r="154" spans="1:11" ht="15" customHeight="1">
      <c r="A154" s="690" t="s">
        <v>953</v>
      </c>
      <c r="B154" s="678" t="s">
        <v>952</v>
      </c>
      <c r="C154" s="679" t="s">
        <v>1321</v>
      </c>
      <c r="D154" s="679" t="s">
        <v>71</v>
      </c>
      <c r="E154" s="680" t="s">
        <v>303</v>
      </c>
      <c r="F154" s="681"/>
      <c r="G154" s="682" t="s">
        <v>7</v>
      </c>
      <c r="H154" s="33"/>
      <c r="K154" s="683"/>
    </row>
    <row r="155" spans="1:11" ht="15" customHeight="1">
      <c r="A155" s="690" t="s">
        <v>955</v>
      </c>
      <c r="B155" s="678" t="s">
        <v>954</v>
      </c>
      <c r="C155" s="679" t="s">
        <v>1321</v>
      </c>
      <c r="D155" s="679" t="s">
        <v>57</v>
      </c>
      <c r="E155" s="680" t="s">
        <v>303</v>
      </c>
      <c r="F155" s="681"/>
      <c r="G155" s="682" t="s">
        <v>2</v>
      </c>
      <c r="H155" s="33"/>
      <c r="K155" s="683" t="str">
        <f>Print_Mois!C300</f>
        <v>Ventes de Gros</v>
      </c>
    </row>
    <row r="156" spans="1:11" ht="15" customHeight="1">
      <c r="A156" s="690" t="s">
        <v>748</v>
      </c>
      <c r="B156" s="678" t="s">
        <v>722</v>
      </c>
      <c r="C156" s="679"/>
      <c r="D156" s="679"/>
      <c r="E156" s="680"/>
      <c r="F156" s="681"/>
      <c r="G156" s="682" t="e">
        <v>#N/A</v>
      </c>
      <c r="H156" s="33"/>
      <c r="K156" s="683" t="s">
        <v>186</v>
      </c>
    </row>
    <row r="157" spans="1:11" ht="15" customHeight="1">
      <c r="A157" s="690" t="s">
        <v>1763</v>
      </c>
      <c r="B157" s="678" t="s">
        <v>747</v>
      </c>
      <c r="C157" s="679"/>
      <c r="D157" s="679"/>
      <c r="E157" s="680"/>
      <c r="F157" s="681"/>
      <c r="G157" s="682" t="e">
        <v>#N/A</v>
      </c>
      <c r="H157" s="33"/>
      <c r="K157" s="683" t="str">
        <f>Print_Mois!C298</f>
        <v>Ventes Internes</v>
      </c>
    </row>
    <row r="158" spans="1:11" ht="15" customHeight="1">
      <c r="A158" s="690" t="s">
        <v>958</v>
      </c>
      <c r="B158" s="678" t="s">
        <v>956</v>
      </c>
      <c r="C158" s="679" t="s">
        <v>1321</v>
      </c>
      <c r="D158" s="679" t="s">
        <v>84</v>
      </c>
      <c r="E158" s="680" t="s">
        <v>303</v>
      </c>
      <c r="F158" s="681"/>
      <c r="G158" s="682" t="e">
        <v>#N/A</v>
      </c>
      <c r="H158" s="33"/>
      <c r="K158" s="683"/>
    </row>
    <row r="159" spans="1:11" ht="15" customHeight="1">
      <c r="A159" s="690" t="s">
        <v>1768</v>
      </c>
      <c r="B159" s="678" t="s">
        <v>959</v>
      </c>
      <c r="C159" s="679" t="s">
        <v>1321</v>
      </c>
      <c r="D159" s="679" t="s">
        <v>85</v>
      </c>
      <c r="E159" s="680" t="s">
        <v>303</v>
      </c>
      <c r="F159" s="681"/>
      <c r="G159" s="682" t="e">
        <v>#N/A</v>
      </c>
      <c r="H159" s="33"/>
      <c r="K159" s="683" t="str">
        <f>Print_Mois!C307</f>
        <v>Ventes Pneus</v>
      </c>
    </row>
    <row r="160" spans="1:11" ht="15" customHeight="1">
      <c r="A160" s="690" t="s">
        <v>1771</v>
      </c>
      <c r="B160" s="678" t="s">
        <v>960</v>
      </c>
      <c r="C160" s="679" t="s">
        <v>1321</v>
      </c>
      <c r="D160" s="679" t="s">
        <v>84</v>
      </c>
      <c r="E160" s="680"/>
      <c r="F160" s="681"/>
      <c r="G160" s="682" t="e">
        <v>#N/A</v>
      </c>
      <c r="H160" s="33"/>
    </row>
    <row r="161" spans="1:8" ht="15" customHeight="1">
      <c r="A161" s="690" t="s">
        <v>1774</v>
      </c>
      <c r="B161" s="678" t="s">
        <v>749</v>
      </c>
      <c r="C161" s="679"/>
      <c r="D161" s="679"/>
      <c r="E161" s="680"/>
      <c r="F161" s="681"/>
      <c r="G161" s="682" t="e">
        <v>#N/A</v>
      </c>
      <c r="H161" s="33"/>
    </row>
    <row r="162" spans="1:8" ht="15" customHeight="1">
      <c r="A162" s="690" t="s">
        <v>1777</v>
      </c>
      <c r="B162" s="678" t="s">
        <v>750</v>
      </c>
      <c r="C162" s="679"/>
      <c r="D162" s="679"/>
      <c r="E162" s="680"/>
      <c r="F162" s="681"/>
      <c r="G162" s="682" t="e">
        <v>#N/A</v>
      </c>
      <c r="H162" s="33"/>
    </row>
    <row r="163" spans="1:8" ht="15" customHeight="1">
      <c r="A163" s="690" t="s">
        <v>1780</v>
      </c>
      <c r="B163" s="678" t="s">
        <v>751</v>
      </c>
      <c r="C163" s="679"/>
      <c r="D163" s="679"/>
      <c r="E163" s="680"/>
      <c r="F163" s="681"/>
      <c r="G163" s="682" t="s">
        <v>816</v>
      </c>
      <c r="H163" s="33"/>
    </row>
    <row r="164" spans="1:8" ht="15" customHeight="1">
      <c r="A164" s="690" t="s">
        <v>1783</v>
      </c>
      <c r="B164" s="678" t="s">
        <v>752</v>
      </c>
      <c r="C164" s="679"/>
      <c r="D164" s="679"/>
      <c r="E164" s="680"/>
      <c r="F164" s="681"/>
      <c r="G164" s="682" t="e">
        <v>#N/A</v>
      </c>
      <c r="H164" s="33"/>
    </row>
    <row r="165" spans="1:8" ht="15" customHeight="1">
      <c r="A165" s="690" t="s">
        <v>1786</v>
      </c>
      <c r="B165" s="678" t="s">
        <v>753</v>
      </c>
      <c r="C165" s="679"/>
      <c r="D165" s="679"/>
      <c r="E165" s="680"/>
      <c r="F165" s="681"/>
      <c r="G165" s="682" t="s">
        <v>816</v>
      </c>
      <c r="H165" s="33"/>
    </row>
    <row r="166" spans="1:8" ht="15" customHeight="1">
      <c r="A166" s="690" t="s">
        <v>1789</v>
      </c>
      <c r="B166" s="678" t="s">
        <v>754</v>
      </c>
      <c r="C166" s="679"/>
      <c r="D166" s="679"/>
      <c r="E166" s="680"/>
      <c r="F166" s="681"/>
      <c r="G166" s="682" t="s">
        <v>7</v>
      </c>
      <c r="H166" s="3"/>
    </row>
    <row r="167" spans="1:8" ht="15" customHeight="1">
      <c r="A167" s="690" t="s">
        <v>1792</v>
      </c>
      <c r="B167" s="678" t="s">
        <v>755</v>
      </c>
      <c r="C167" s="679"/>
      <c r="D167" s="679"/>
      <c r="E167" s="680"/>
      <c r="F167" s="681"/>
      <c r="G167" s="682" t="s">
        <v>816</v>
      </c>
      <c r="H167" s="3"/>
    </row>
    <row r="168" spans="1:8" ht="15" customHeight="1">
      <c r="A168" s="690" t="s">
        <v>1795</v>
      </c>
      <c r="B168" s="678" t="s">
        <v>961</v>
      </c>
      <c r="C168" s="679" t="s">
        <v>1321</v>
      </c>
      <c r="D168" s="679" t="s">
        <v>86</v>
      </c>
      <c r="E168" s="680" t="s">
        <v>303</v>
      </c>
      <c r="F168" s="681"/>
      <c r="G168" s="682" t="e">
        <v>#N/A</v>
      </c>
      <c r="H168" s="3"/>
    </row>
    <row r="169" spans="1:8" ht="15" customHeight="1">
      <c r="A169" s="690" t="s">
        <v>1798</v>
      </c>
      <c r="B169" s="678" t="s">
        <v>756</v>
      </c>
      <c r="C169" s="679"/>
      <c r="D169" s="679"/>
      <c r="E169" s="680"/>
      <c r="F169" s="681"/>
      <c r="G169" s="682" t="s">
        <v>816</v>
      </c>
      <c r="H169" s="3"/>
    </row>
    <row r="170" spans="1:8" ht="15" customHeight="1">
      <c r="A170" s="678" t="s">
        <v>1801</v>
      </c>
      <c r="B170" s="678" t="s">
        <v>757</v>
      </c>
      <c r="C170" s="679"/>
      <c r="D170" s="679"/>
      <c r="E170" s="680"/>
      <c r="F170" s="681"/>
      <c r="G170" s="682" t="s">
        <v>816</v>
      </c>
      <c r="H170" s="3"/>
    </row>
    <row r="171" spans="1:8" ht="15" customHeight="1">
      <c r="A171" s="690" t="s">
        <v>1804</v>
      </c>
      <c r="B171" s="678" t="s">
        <v>758</v>
      </c>
      <c r="C171" s="679"/>
      <c r="D171" s="679"/>
      <c r="E171" s="680"/>
      <c r="F171" s="681"/>
      <c r="G171" s="682" t="s">
        <v>7</v>
      </c>
      <c r="H171" s="3"/>
    </row>
    <row r="172" spans="1:8" ht="15" customHeight="1">
      <c r="A172" s="690" t="s">
        <v>1807</v>
      </c>
      <c r="B172" s="678" t="s">
        <v>759</v>
      </c>
      <c r="C172" s="679"/>
      <c r="D172" s="679"/>
      <c r="E172" s="680"/>
      <c r="F172" s="681"/>
      <c r="G172" s="682" t="e">
        <v>#N/A</v>
      </c>
      <c r="H172" s="3"/>
    </row>
    <row r="173" spans="1:8" ht="15" customHeight="1">
      <c r="A173" s="690" t="s">
        <v>761</v>
      </c>
      <c r="B173" s="678" t="s">
        <v>723</v>
      </c>
      <c r="C173" s="679"/>
      <c r="D173" s="679"/>
      <c r="E173" s="680"/>
      <c r="F173" s="681"/>
      <c r="G173" s="682" t="s">
        <v>816</v>
      </c>
      <c r="H173" s="3"/>
    </row>
    <row r="174" spans="1:8" ht="15" customHeight="1">
      <c r="A174" s="690" t="s">
        <v>1812</v>
      </c>
      <c r="B174" s="678" t="s">
        <v>760</v>
      </c>
      <c r="C174" s="679"/>
      <c r="D174" s="679"/>
      <c r="E174" s="680"/>
      <c r="F174" s="681"/>
      <c r="G174" s="682" t="e">
        <v>#N/A</v>
      </c>
      <c r="H174" s="3"/>
    </row>
    <row r="175" spans="1:8" ht="15" customHeight="1">
      <c r="A175" s="690" t="s">
        <v>1815</v>
      </c>
      <c r="B175" s="678" t="s">
        <v>762</v>
      </c>
      <c r="C175" s="679"/>
      <c r="D175" s="679"/>
      <c r="E175" s="680"/>
      <c r="F175" s="681"/>
      <c r="G175" s="682" t="s">
        <v>816</v>
      </c>
      <c r="H175" s="3"/>
    </row>
    <row r="176" spans="1:8" ht="15" customHeight="1">
      <c r="A176" s="690" t="s">
        <v>1818</v>
      </c>
      <c r="B176" s="678" t="s">
        <v>763</v>
      </c>
      <c r="C176" s="679"/>
      <c r="D176" s="679"/>
      <c r="E176" s="680"/>
      <c r="F176" s="681"/>
      <c r="G176" s="682" t="s">
        <v>816</v>
      </c>
      <c r="H176" s="3"/>
    </row>
    <row r="177" spans="1:11" ht="15" customHeight="1">
      <c r="A177" s="690" t="s">
        <v>1821</v>
      </c>
      <c r="B177" s="678" t="s">
        <v>764</v>
      </c>
      <c r="C177" s="679"/>
      <c r="D177" s="679"/>
      <c r="E177" s="686"/>
      <c r="F177" s="686"/>
      <c r="G177" s="682" t="s">
        <v>816</v>
      </c>
      <c r="H177" s="3"/>
    </row>
    <row r="178" spans="1:11" ht="15" customHeight="1">
      <c r="A178" s="690" t="s">
        <v>1824</v>
      </c>
      <c r="B178" s="678" t="s">
        <v>765</v>
      </c>
      <c r="C178" s="679"/>
      <c r="D178" s="679"/>
      <c r="E178" s="680"/>
      <c r="F178" s="681"/>
      <c r="G178" s="682" t="s">
        <v>816</v>
      </c>
      <c r="H178" s="3"/>
    </row>
    <row r="179" spans="1:11" ht="15" customHeight="1">
      <c r="A179" s="690" t="s">
        <v>1827</v>
      </c>
      <c r="B179" s="678" t="s">
        <v>766</v>
      </c>
      <c r="C179" s="679"/>
      <c r="D179" s="679"/>
      <c r="E179" s="680"/>
      <c r="F179" s="681"/>
      <c r="G179" s="682" t="s">
        <v>816</v>
      </c>
      <c r="H179" s="3"/>
    </row>
    <row r="180" spans="1:11" ht="15" customHeight="1">
      <c r="A180" s="690" t="s">
        <v>1830</v>
      </c>
      <c r="B180" s="678" t="s">
        <v>767</v>
      </c>
      <c r="C180" s="679"/>
      <c r="D180" s="679"/>
      <c r="E180" s="680"/>
      <c r="F180" s="681"/>
      <c r="G180" s="682" t="s">
        <v>816</v>
      </c>
      <c r="H180" s="3"/>
      <c r="K180" s="3"/>
    </row>
    <row r="181" spans="1:11" ht="15" customHeight="1">
      <c r="A181" s="690" t="s">
        <v>1833</v>
      </c>
      <c r="B181" s="678" t="s">
        <v>768</v>
      </c>
      <c r="C181" s="679"/>
      <c r="D181" s="679"/>
      <c r="E181" s="686"/>
      <c r="F181" s="686"/>
      <c r="G181" s="682" t="s">
        <v>816</v>
      </c>
      <c r="H181" s="3"/>
    </row>
    <row r="182" spans="1:11" ht="15" customHeight="1">
      <c r="A182" s="690" t="s">
        <v>1836</v>
      </c>
      <c r="B182" s="678" t="s">
        <v>769</v>
      </c>
      <c r="C182" s="679"/>
      <c r="D182" s="679"/>
      <c r="E182" s="680"/>
      <c r="F182" s="681"/>
      <c r="G182" s="682" t="s">
        <v>816</v>
      </c>
      <c r="H182" s="3"/>
    </row>
    <row r="183" spans="1:11" ht="15" customHeight="1">
      <c r="A183" s="690" t="s">
        <v>1839</v>
      </c>
      <c r="B183" s="678" t="s">
        <v>770</v>
      </c>
      <c r="C183" s="679"/>
      <c r="D183" s="679"/>
      <c r="E183" s="686"/>
      <c r="F183" s="686"/>
      <c r="G183" s="682" t="s">
        <v>816</v>
      </c>
      <c r="H183" s="3"/>
    </row>
    <row r="184" spans="1:11" ht="15" customHeight="1">
      <c r="A184" s="690" t="s">
        <v>964</v>
      </c>
      <c r="B184" s="678" t="s">
        <v>962</v>
      </c>
      <c r="C184" s="679" t="s">
        <v>92</v>
      </c>
      <c r="D184" s="679" t="s">
        <v>104</v>
      </c>
      <c r="E184" s="680" t="s">
        <v>303</v>
      </c>
      <c r="F184" s="681" t="s">
        <v>1368</v>
      </c>
      <c r="G184" s="682" t="e">
        <v>#N/A</v>
      </c>
      <c r="H184" s="3"/>
    </row>
    <row r="185" spans="1:11" ht="15" customHeight="1">
      <c r="A185" s="690" t="s">
        <v>966</v>
      </c>
      <c r="B185" s="678" t="s">
        <v>965</v>
      </c>
      <c r="C185" s="679" t="s">
        <v>92</v>
      </c>
      <c r="D185" s="679" t="s">
        <v>104</v>
      </c>
      <c r="E185" s="686" t="s">
        <v>341</v>
      </c>
      <c r="F185" s="686"/>
      <c r="G185" s="682" t="s">
        <v>1154</v>
      </c>
      <c r="H185" s="3"/>
    </row>
    <row r="186" spans="1:11" ht="15" customHeight="1">
      <c r="A186" s="690" t="s">
        <v>1846</v>
      </c>
      <c r="B186" s="678" t="s">
        <v>1369</v>
      </c>
      <c r="C186" s="679" t="s">
        <v>92</v>
      </c>
      <c r="D186" s="679" t="s">
        <v>97</v>
      </c>
      <c r="E186" s="680" t="s">
        <v>303</v>
      </c>
      <c r="F186" s="681" t="s">
        <v>1368</v>
      </c>
      <c r="G186" s="680" t="e">
        <v>#N/A</v>
      </c>
      <c r="H186" s="3"/>
    </row>
    <row r="187" spans="1:11" ht="15" customHeight="1">
      <c r="A187" s="690" t="s">
        <v>1408</v>
      </c>
      <c r="B187" s="678" t="s">
        <v>1409</v>
      </c>
      <c r="C187" s="679" t="s">
        <v>92</v>
      </c>
      <c r="D187" s="679" t="s">
        <v>97</v>
      </c>
      <c r="E187" s="686" t="s">
        <v>341</v>
      </c>
      <c r="F187" s="686"/>
      <c r="G187" s="680" t="s">
        <v>1154</v>
      </c>
      <c r="H187" s="3"/>
    </row>
    <row r="188" spans="1:11" ht="15" customHeight="1">
      <c r="A188" s="690" t="s">
        <v>1431</v>
      </c>
      <c r="B188" s="678" t="s">
        <v>1370</v>
      </c>
      <c r="C188" s="679" t="s">
        <v>92</v>
      </c>
      <c r="D188" s="679" t="s">
        <v>97</v>
      </c>
      <c r="E188" s="680" t="s">
        <v>303</v>
      </c>
      <c r="F188" s="681" t="s">
        <v>1368</v>
      </c>
      <c r="G188" s="680" t="s">
        <v>963</v>
      </c>
      <c r="H188" s="3"/>
    </row>
    <row r="189" spans="1:11" ht="15" customHeight="1">
      <c r="A189" s="690" t="s">
        <v>1410</v>
      </c>
      <c r="B189" s="678" t="s">
        <v>1411</v>
      </c>
      <c r="C189" s="679" t="s">
        <v>92</v>
      </c>
      <c r="D189" s="679" t="s">
        <v>97</v>
      </c>
      <c r="E189" s="686" t="s">
        <v>341</v>
      </c>
      <c r="F189" s="686"/>
      <c r="G189" s="680" t="e">
        <v>#N/A</v>
      </c>
      <c r="H189" s="3"/>
    </row>
    <row r="190" spans="1:11" ht="15" customHeight="1">
      <c r="A190" s="690" t="s">
        <v>1432</v>
      </c>
      <c r="B190" s="678" t="s">
        <v>1371</v>
      </c>
      <c r="C190" s="679" t="s">
        <v>92</v>
      </c>
      <c r="D190" s="679" t="s">
        <v>97</v>
      </c>
      <c r="E190" s="680" t="s">
        <v>303</v>
      </c>
      <c r="F190" s="681" t="s">
        <v>1368</v>
      </c>
      <c r="G190" s="680" t="s">
        <v>7</v>
      </c>
      <c r="H190" s="3"/>
    </row>
    <row r="191" spans="1:11" ht="15" customHeight="1">
      <c r="A191" s="690" t="s">
        <v>1412</v>
      </c>
      <c r="B191" s="678" t="s">
        <v>1413</v>
      </c>
      <c r="C191" s="679" t="s">
        <v>92</v>
      </c>
      <c r="D191" s="679" t="s">
        <v>97</v>
      </c>
      <c r="E191" s="686" t="s">
        <v>341</v>
      </c>
      <c r="F191" s="686"/>
      <c r="G191" s="680" t="s">
        <v>1154</v>
      </c>
      <c r="H191" s="3"/>
    </row>
    <row r="192" spans="1:11" ht="15" customHeight="1">
      <c r="A192" s="690" t="s">
        <v>968</v>
      </c>
      <c r="B192" s="678" t="s">
        <v>967</v>
      </c>
      <c r="C192" s="679" t="s">
        <v>92</v>
      </c>
      <c r="D192" s="679" t="s">
        <v>97</v>
      </c>
      <c r="E192" s="680" t="s">
        <v>303</v>
      </c>
      <c r="F192" s="681" t="s">
        <v>1368</v>
      </c>
      <c r="G192" s="682" t="e">
        <v>#N/A</v>
      </c>
      <c r="H192" s="3"/>
    </row>
    <row r="193" spans="1:8" ht="15" customHeight="1">
      <c r="A193" s="690" t="s">
        <v>970</v>
      </c>
      <c r="B193" s="678" t="s">
        <v>969</v>
      </c>
      <c r="C193" s="679" t="s">
        <v>92</v>
      </c>
      <c r="D193" s="679" t="s">
        <v>97</v>
      </c>
      <c r="E193" s="686" t="s">
        <v>341</v>
      </c>
      <c r="F193" s="686"/>
      <c r="G193" s="682" t="s">
        <v>1154</v>
      </c>
      <c r="H193" s="3"/>
    </row>
    <row r="194" spans="1:8" ht="15" customHeight="1">
      <c r="A194" s="690" t="s">
        <v>978</v>
      </c>
      <c r="B194" s="678" t="s">
        <v>771</v>
      </c>
      <c r="C194" s="679"/>
      <c r="D194" s="679"/>
      <c r="E194" s="680"/>
      <c r="F194" s="681"/>
      <c r="G194" s="682" t="e">
        <v>#N/A</v>
      </c>
      <c r="H194" s="3"/>
    </row>
    <row r="195" spans="1:8" ht="15" customHeight="1">
      <c r="A195" s="690" t="s">
        <v>972</v>
      </c>
      <c r="B195" s="678" t="s">
        <v>1372</v>
      </c>
      <c r="C195" s="679" t="s">
        <v>92</v>
      </c>
      <c r="D195" s="679" t="s">
        <v>97</v>
      </c>
      <c r="E195" s="680" t="s">
        <v>303</v>
      </c>
      <c r="F195" s="681" t="s">
        <v>1368</v>
      </c>
      <c r="G195" s="682" t="s">
        <v>963</v>
      </c>
      <c r="H195" s="3"/>
    </row>
    <row r="196" spans="1:8" ht="15" customHeight="1">
      <c r="A196" s="690" t="s">
        <v>973</v>
      </c>
      <c r="B196" s="678" t="s">
        <v>1414</v>
      </c>
      <c r="C196" s="679" t="s">
        <v>92</v>
      </c>
      <c r="D196" s="679" t="s">
        <v>97</v>
      </c>
      <c r="E196" s="686" t="s">
        <v>341</v>
      </c>
      <c r="F196" s="686"/>
      <c r="G196" s="682" t="s">
        <v>1154</v>
      </c>
      <c r="H196" s="3"/>
    </row>
    <row r="197" spans="1:8" ht="15" customHeight="1">
      <c r="A197" s="690" t="s">
        <v>1869</v>
      </c>
      <c r="B197" s="678" t="s">
        <v>1373</v>
      </c>
      <c r="C197" s="679" t="s">
        <v>92</v>
      </c>
      <c r="D197" s="679" t="s">
        <v>97</v>
      </c>
      <c r="E197" s="680" t="s">
        <v>303</v>
      </c>
      <c r="F197" s="681" t="s">
        <v>1368</v>
      </c>
      <c r="G197" s="680" t="s">
        <v>7</v>
      </c>
      <c r="H197" s="3"/>
    </row>
    <row r="198" spans="1:8" ht="15" customHeight="1">
      <c r="A198" s="690" t="s">
        <v>1415</v>
      </c>
      <c r="B198" s="678" t="s">
        <v>1416</v>
      </c>
      <c r="C198" s="679" t="s">
        <v>92</v>
      </c>
      <c r="D198" s="679" t="s">
        <v>97</v>
      </c>
      <c r="E198" s="686" t="s">
        <v>341</v>
      </c>
      <c r="F198" s="686"/>
      <c r="G198" s="680" t="s">
        <v>1154</v>
      </c>
      <c r="H198" s="3"/>
    </row>
    <row r="199" spans="1:8" ht="15" customHeight="1">
      <c r="A199" s="690" t="s">
        <v>1435</v>
      </c>
      <c r="B199" s="678" t="s">
        <v>1374</v>
      </c>
      <c r="C199" s="679" t="s">
        <v>92</v>
      </c>
      <c r="D199" s="679" t="s">
        <v>97</v>
      </c>
      <c r="E199" s="680" t="s">
        <v>303</v>
      </c>
      <c r="F199" s="681" t="s">
        <v>1368</v>
      </c>
      <c r="G199" s="680" t="e">
        <v>#N/A</v>
      </c>
      <c r="H199" s="3"/>
    </row>
    <row r="200" spans="1:8" ht="15" customHeight="1">
      <c r="A200" s="690" t="s">
        <v>1417</v>
      </c>
      <c r="B200" s="678" t="s">
        <v>1418</v>
      </c>
      <c r="C200" s="679" t="s">
        <v>92</v>
      </c>
      <c r="D200" s="679" t="s">
        <v>97</v>
      </c>
      <c r="E200" s="686" t="s">
        <v>341</v>
      </c>
      <c r="F200" s="686"/>
      <c r="G200" s="680" t="s">
        <v>1154</v>
      </c>
      <c r="H200" s="3"/>
    </row>
    <row r="201" spans="1:8" ht="15" customHeight="1">
      <c r="A201" s="678" t="s">
        <v>3380</v>
      </c>
      <c r="B201" s="678" t="s">
        <v>1375</v>
      </c>
      <c r="C201" s="679" t="s">
        <v>92</v>
      </c>
      <c r="D201" s="679" t="s">
        <v>98</v>
      </c>
      <c r="E201" s="680" t="s">
        <v>303</v>
      </c>
      <c r="F201" s="681" t="s">
        <v>1368</v>
      </c>
      <c r="G201" s="682" t="e">
        <v>#N/A</v>
      </c>
      <c r="H201" s="3"/>
    </row>
    <row r="202" spans="1:8" ht="15" customHeight="1">
      <c r="A202" s="1020" t="s">
        <v>977</v>
      </c>
      <c r="B202" s="678" t="s">
        <v>1419</v>
      </c>
      <c r="C202" s="679" t="s">
        <v>92</v>
      </c>
      <c r="D202" s="679" t="s">
        <v>98</v>
      </c>
      <c r="E202" s="686" t="s">
        <v>341</v>
      </c>
      <c r="F202" s="686"/>
      <c r="G202" s="682" t="s">
        <v>1154</v>
      </c>
      <c r="H202" s="3"/>
    </row>
    <row r="203" spans="1:8" ht="15" customHeight="1">
      <c r="A203" s="678" t="s">
        <v>980</v>
      </c>
      <c r="B203" s="678" t="s">
        <v>979</v>
      </c>
      <c r="C203" s="679" t="s">
        <v>92</v>
      </c>
      <c r="D203" s="679" t="s">
        <v>98</v>
      </c>
      <c r="E203" s="680" t="s">
        <v>303</v>
      </c>
      <c r="F203" s="681" t="s">
        <v>1368</v>
      </c>
      <c r="G203" s="682" t="e">
        <v>#N/A</v>
      </c>
      <c r="H203" s="3"/>
    </row>
    <row r="204" spans="1:8" ht="15" customHeight="1">
      <c r="A204" s="690" t="s">
        <v>982</v>
      </c>
      <c r="B204" s="678" t="s">
        <v>981</v>
      </c>
      <c r="C204" s="679" t="s">
        <v>92</v>
      </c>
      <c r="D204" s="679" t="s">
        <v>98</v>
      </c>
      <c r="E204" s="686" t="s">
        <v>341</v>
      </c>
      <c r="F204" s="686"/>
      <c r="G204" s="682" t="s">
        <v>1154</v>
      </c>
      <c r="H204" s="3"/>
    </row>
    <row r="205" spans="1:8" ht="15" customHeight="1">
      <c r="A205" s="690" t="s">
        <v>3353</v>
      </c>
      <c r="B205" s="678" t="s">
        <v>772</v>
      </c>
      <c r="C205" s="679"/>
      <c r="D205" s="679"/>
      <c r="E205" s="680"/>
      <c r="F205" s="681"/>
      <c r="G205" s="682" t="s">
        <v>816</v>
      </c>
      <c r="H205" s="3"/>
    </row>
    <row r="206" spans="1:8" ht="15" customHeight="1">
      <c r="A206" s="690" t="s">
        <v>3349</v>
      </c>
      <c r="B206" s="685" t="s">
        <v>983</v>
      </c>
      <c r="C206" s="679" t="s">
        <v>92</v>
      </c>
      <c r="D206" s="679" t="s">
        <v>98</v>
      </c>
      <c r="E206" s="680" t="s">
        <v>303</v>
      </c>
      <c r="F206" s="681" t="s">
        <v>249</v>
      </c>
      <c r="G206" s="682" t="s">
        <v>963</v>
      </c>
      <c r="H206" s="3"/>
    </row>
    <row r="207" spans="1:8" ht="15" customHeight="1">
      <c r="A207" s="1020" t="s">
        <v>985</v>
      </c>
      <c r="B207" s="685" t="s">
        <v>984</v>
      </c>
      <c r="C207" s="679" t="s">
        <v>92</v>
      </c>
      <c r="D207" s="679" t="s">
        <v>98</v>
      </c>
      <c r="E207" s="686" t="s">
        <v>341</v>
      </c>
      <c r="F207" s="681"/>
      <c r="G207" s="682" t="s">
        <v>1154</v>
      </c>
      <c r="H207" s="3"/>
    </row>
    <row r="208" spans="1:8" ht="15" customHeight="1">
      <c r="A208" s="690" t="s">
        <v>987</v>
      </c>
      <c r="B208" s="678" t="s">
        <v>986</v>
      </c>
      <c r="C208" s="679" t="s">
        <v>92</v>
      </c>
      <c r="D208" s="679" t="s">
        <v>97</v>
      </c>
      <c r="E208" s="680" t="s">
        <v>303</v>
      </c>
      <c r="F208" s="681" t="s">
        <v>1368</v>
      </c>
      <c r="G208" s="682" t="s">
        <v>7</v>
      </c>
      <c r="H208" s="3"/>
    </row>
    <row r="209" spans="1:8" ht="15" customHeight="1">
      <c r="A209" s="690" t="s">
        <v>989</v>
      </c>
      <c r="B209" s="678" t="s">
        <v>988</v>
      </c>
      <c r="C209" s="679" t="s">
        <v>92</v>
      </c>
      <c r="D209" s="679" t="s">
        <v>97</v>
      </c>
      <c r="E209" s="686" t="s">
        <v>341</v>
      </c>
      <c r="F209" s="686"/>
      <c r="G209" s="682" t="s">
        <v>1154</v>
      </c>
      <c r="H209" s="3"/>
    </row>
    <row r="210" spans="1:8" ht="15" customHeight="1">
      <c r="A210" s="690" t="s">
        <v>991</v>
      </c>
      <c r="B210" s="678" t="s">
        <v>990</v>
      </c>
      <c r="C210" s="679" t="s">
        <v>92</v>
      </c>
      <c r="D210" s="679" t="s">
        <v>98</v>
      </c>
      <c r="E210" s="680" t="s">
        <v>303</v>
      </c>
      <c r="F210" s="681" t="s">
        <v>1368</v>
      </c>
      <c r="G210" s="682" t="s">
        <v>963</v>
      </c>
      <c r="H210" s="3"/>
    </row>
    <row r="211" spans="1:8" ht="15" customHeight="1">
      <c r="A211" s="678" t="s">
        <v>993</v>
      </c>
      <c r="B211" s="678" t="s">
        <v>992</v>
      </c>
      <c r="C211" s="679" t="s">
        <v>92</v>
      </c>
      <c r="D211" s="679" t="s">
        <v>98</v>
      </c>
      <c r="E211" s="686" t="s">
        <v>341</v>
      </c>
      <c r="F211" s="686"/>
      <c r="G211" s="682" t="s">
        <v>1154</v>
      </c>
      <c r="H211" s="3"/>
    </row>
    <row r="212" spans="1:8" ht="15" customHeight="1">
      <c r="A212" s="690" t="s">
        <v>1433</v>
      </c>
      <c r="B212" s="678" t="s">
        <v>1376</v>
      </c>
      <c r="C212" s="679" t="s">
        <v>92</v>
      </c>
      <c r="D212" s="679" t="s">
        <v>97</v>
      </c>
      <c r="E212" s="680" t="s">
        <v>303</v>
      </c>
      <c r="F212" s="681" t="s">
        <v>1368</v>
      </c>
      <c r="G212" s="680" t="e">
        <v>#N/A</v>
      </c>
      <c r="H212" s="3"/>
    </row>
    <row r="213" spans="1:8" ht="15" customHeight="1">
      <c r="A213" s="690" t="s">
        <v>1420</v>
      </c>
      <c r="B213" s="678" t="s">
        <v>1421</v>
      </c>
      <c r="C213" s="679" t="s">
        <v>92</v>
      </c>
      <c r="D213" s="679" t="s">
        <v>97</v>
      </c>
      <c r="E213" s="686" t="s">
        <v>341</v>
      </c>
      <c r="F213" s="686"/>
      <c r="G213" s="680" t="s">
        <v>1154</v>
      </c>
      <c r="H213" s="3"/>
    </row>
    <row r="214" spans="1:8" ht="15" customHeight="1">
      <c r="A214" s="690" t="s">
        <v>995</v>
      </c>
      <c r="B214" s="678" t="s">
        <v>994</v>
      </c>
      <c r="C214" s="679" t="s">
        <v>92</v>
      </c>
      <c r="D214" s="679" t="s">
        <v>103</v>
      </c>
      <c r="E214" s="680" t="s">
        <v>303</v>
      </c>
      <c r="F214" s="681" t="s">
        <v>1368</v>
      </c>
      <c r="G214" s="682" t="s">
        <v>963</v>
      </c>
      <c r="H214" s="3"/>
    </row>
    <row r="215" spans="1:8" ht="15" customHeight="1">
      <c r="A215" s="690" t="s">
        <v>997</v>
      </c>
      <c r="B215" s="678" t="s">
        <v>996</v>
      </c>
      <c r="C215" s="679" t="s">
        <v>92</v>
      </c>
      <c r="D215" s="679" t="s">
        <v>103</v>
      </c>
      <c r="E215" s="686" t="s">
        <v>341</v>
      </c>
      <c r="F215" s="686"/>
      <c r="G215" s="682" t="e">
        <v>#N/A</v>
      </c>
      <c r="H215" s="3"/>
    </row>
    <row r="216" spans="1:8" ht="15" customHeight="1">
      <c r="A216" s="690" t="s">
        <v>999</v>
      </c>
      <c r="B216" s="678" t="s">
        <v>998</v>
      </c>
      <c r="C216" s="679" t="s">
        <v>92</v>
      </c>
      <c r="D216" s="679" t="s">
        <v>102</v>
      </c>
      <c r="E216" s="680" t="s">
        <v>303</v>
      </c>
      <c r="F216" s="681" t="s">
        <v>1368</v>
      </c>
      <c r="G216" s="682" t="s">
        <v>7</v>
      </c>
      <c r="H216" s="3"/>
    </row>
    <row r="217" spans="1:8" ht="15" customHeight="1">
      <c r="A217" s="678" t="s">
        <v>1001</v>
      </c>
      <c r="B217" s="678" t="s">
        <v>1000</v>
      </c>
      <c r="C217" s="679" t="s">
        <v>92</v>
      </c>
      <c r="D217" s="679" t="s">
        <v>102</v>
      </c>
      <c r="E217" s="686" t="s">
        <v>341</v>
      </c>
      <c r="F217" s="686"/>
      <c r="G217" s="682" t="s">
        <v>2</v>
      </c>
      <c r="H217" s="3"/>
    </row>
    <row r="218" spans="1:8" ht="15" customHeight="1">
      <c r="A218" s="678" t="s">
        <v>3894</v>
      </c>
      <c r="B218" s="678" t="s">
        <v>3893</v>
      </c>
      <c r="C218" s="679" t="s">
        <v>92</v>
      </c>
      <c r="D218" s="679" t="s">
        <v>98</v>
      </c>
      <c r="E218" s="680" t="s">
        <v>303</v>
      </c>
      <c r="F218" s="681" t="s">
        <v>1368</v>
      </c>
      <c r="G218" s="682" t="e">
        <v>#N/A</v>
      </c>
      <c r="H218" s="3"/>
    </row>
    <row r="219" spans="1:8" ht="15" customHeight="1">
      <c r="A219" s="1156" t="s">
        <v>3898</v>
      </c>
      <c r="B219" s="678" t="s">
        <v>3897</v>
      </c>
      <c r="C219" s="679" t="s">
        <v>92</v>
      </c>
      <c r="D219" s="679" t="s">
        <v>98</v>
      </c>
      <c r="E219" s="686" t="s">
        <v>341</v>
      </c>
      <c r="F219" s="686"/>
      <c r="G219" s="682" t="s">
        <v>1154</v>
      </c>
      <c r="H219" s="3"/>
    </row>
    <row r="220" spans="1:8" ht="15" customHeight="1">
      <c r="A220" s="690" t="s">
        <v>3381</v>
      </c>
      <c r="B220" s="678" t="s">
        <v>1377</v>
      </c>
      <c r="C220" s="679" t="s">
        <v>92</v>
      </c>
      <c r="D220" s="679" t="s">
        <v>97</v>
      </c>
      <c r="E220" s="680" t="s">
        <v>303</v>
      </c>
      <c r="F220" s="681" t="s">
        <v>1368</v>
      </c>
      <c r="G220" s="682" t="s">
        <v>963</v>
      </c>
      <c r="H220" s="3"/>
    </row>
    <row r="221" spans="1:8" ht="15" customHeight="1">
      <c r="A221" s="690" t="s">
        <v>1005</v>
      </c>
      <c r="B221" s="678" t="s">
        <v>1422</v>
      </c>
      <c r="C221" s="679" t="s">
        <v>92</v>
      </c>
      <c r="D221" s="679" t="s">
        <v>97</v>
      </c>
      <c r="E221" s="686" t="s">
        <v>341</v>
      </c>
      <c r="F221" s="686"/>
      <c r="G221" s="682" t="s">
        <v>1154</v>
      </c>
      <c r="H221" s="3"/>
    </row>
    <row r="222" spans="1:8" ht="15" customHeight="1">
      <c r="A222" s="690" t="s">
        <v>3953</v>
      </c>
      <c r="B222" s="678" t="s">
        <v>3952</v>
      </c>
      <c r="C222" s="679" t="s">
        <v>92</v>
      </c>
      <c r="D222" s="679" t="s">
        <v>98</v>
      </c>
      <c r="E222" s="680" t="s">
        <v>303</v>
      </c>
      <c r="F222" s="681" t="s">
        <v>1368</v>
      </c>
      <c r="G222" s="682" t="e">
        <v>#N/A</v>
      </c>
      <c r="H222" s="3"/>
    </row>
    <row r="223" spans="1:8" ht="15" customHeight="1">
      <c r="A223" s="1156" t="s">
        <v>3956</v>
      </c>
      <c r="B223" s="678" t="s">
        <v>3952</v>
      </c>
      <c r="C223" s="679" t="s">
        <v>92</v>
      </c>
      <c r="D223" s="679" t="s">
        <v>98</v>
      </c>
      <c r="E223" s="686" t="s">
        <v>341</v>
      </c>
      <c r="F223" s="686"/>
      <c r="G223" s="682" t="s">
        <v>1154</v>
      </c>
      <c r="H223" s="3"/>
    </row>
    <row r="224" spans="1:8" ht="15" customHeight="1">
      <c r="A224" s="690" t="s">
        <v>3382</v>
      </c>
      <c r="B224" s="678" t="s">
        <v>1378</v>
      </c>
      <c r="C224" s="679" t="s">
        <v>92</v>
      </c>
      <c r="D224" s="679" t="s">
        <v>104</v>
      </c>
      <c r="E224" s="680" t="s">
        <v>303</v>
      </c>
      <c r="F224" s="681" t="s">
        <v>1368</v>
      </c>
      <c r="G224" s="680" t="s">
        <v>7</v>
      </c>
      <c r="H224" s="3"/>
    </row>
    <row r="225" spans="1:9" ht="15" customHeight="1">
      <c r="A225" s="690" t="s">
        <v>1007</v>
      </c>
      <c r="B225" s="678" t="s">
        <v>1006</v>
      </c>
      <c r="C225" s="679" t="s">
        <v>152</v>
      </c>
      <c r="D225" s="679" t="s">
        <v>153</v>
      </c>
      <c r="E225" s="680" t="s">
        <v>303</v>
      </c>
      <c r="F225" s="681" t="s">
        <v>1368</v>
      </c>
      <c r="G225" s="682" t="e">
        <v>#N/A</v>
      </c>
      <c r="H225" s="3"/>
    </row>
    <row r="226" spans="1:9" ht="15" customHeight="1">
      <c r="A226" s="690" t="s">
        <v>1009</v>
      </c>
      <c r="B226" s="678" t="s">
        <v>1008</v>
      </c>
      <c r="C226" s="679" t="s">
        <v>152</v>
      </c>
      <c r="D226" s="679" t="s">
        <v>153</v>
      </c>
      <c r="E226" s="686" t="s">
        <v>341</v>
      </c>
      <c r="F226" s="686"/>
      <c r="G226" s="682" t="s">
        <v>1154</v>
      </c>
      <c r="H226" s="3"/>
    </row>
    <row r="227" spans="1:9" ht="15" customHeight="1">
      <c r="A227" s="690" t="s">
        <v>1905</v>
      </c>
      <c r="B227" s="678" t="s">
        <v>773</v>
      </c>
      <c r="C227" s="679"/>
      <c r="D227" s="679"/>
      <c r="E227" s="680"/>
      <c r="F227" s="681"/>
      <c r="G227" s="682" t="s">
        <v>816</v>
      </c>
      <c r="H227" s="3"/>
    </row>
    <row r="228" spans="1:9" ht="15" customHeight="1">
      <c r="A228" s="690" t="s">
        <v>1011</v>
      </c>
      <c r="B228" s="678" t="s">
        <v>1010</v>
      </c>
      <c r="C228" s="679" t="s">
        <v>152</v>
      </c>
      <c r="D228" s="679" t="s">
        <v>154</v>
      </c>
      <c r="E228" s="680" t="s">
        <v>303</v>
      </c>
      <c r="F228" s="681" t="s">
        <v>1368</v>
      </c>
      <c r="G228" s="682" t="e">
        <v>#N/A</v>
      </c>
      <c r="H228" s="4"/>
    </row>
    <row r="229" spans="1:9" ht="15" customHeight="1">
      <c r="A229" s="690" t="s">
        <v>1013</v>
      </c>
      <c r="B229" s="678" t="s">
        <v>1012</v>
      </c>
      <c r="C229" s="679" t="s">
        <v>152</v>
      </c>
      <c r="D229" s="679" t="s">
        <v>154</v>
      </c>
      <c r="E229" s="686" t="s">
        <v>341</v>
      </c>
      <c r="F229" s="686"/>
      <c r="G229" s="682" t="s">
        <v>1154</v>
      </c>
      <c r="H229" s="3"/>
    </row>
    <row r="230" spans="1:9" ht="15" customHeight="1">
      <c r="A230" s="690" t="s">
        <v>1912</v>
      </c>
      <c r="B230" s="678" t="s">
        <v>774</v>
      </c>
      <c r="C230" s="679"/>
      <c r="D230" s="679"/>
      <c r="E230" s="680"/>
      <c r="F230" s="681"/>
      <c r="G230" s="682" t="e">
        <v>#N/A</v>
      </c>
      <c r="H230" s="3"/>
    </row>
    <row r="231" spans="1:9" ht="15" customHeight="1">
      <c r="A231" s="690" t="s">
        <v>1915</v>
      </c>
      <c r="B231" s="678" t="s">
        <v>775</v>
      </c>
      <c r="C231" s="679"/>
      <c r="D231" s="679"/>
      <c r="E231" s="680"/>
      <c r="F231" s="681"/>
      <c r="G231" s="682" t="s">
        <v>816</v>
      </c>
      <c r="H231" s="3"/>
    </row>
    <row r="232" spans="1:9" ht="15" customHeight="1">
      <c r="A232" s="690" t="s">
        <v>1918</v>
      </c>
      <c r="B232" s="678" t="s">
        <v>776</v>
      </c>
      <c r="C232" s="679"/>
      <c r="D232" s="679"/>
      <c r="E232" s="680"/>
      <c r="F232" s="681"/>
      <c r="G232" s="682" t="e">
        <v>#N/A</v>
      </c>
      <c r="H232" s="3"/>
    </row>
    <row r="233" spans="1:9" ht="15" customHeight="1">
      <c r="A233" s="690" t="s">
        <v>1921</v>
      </c>
      <c r="B233" s="678" t="s">
        <v>777</v>
      </c>
      <c r="C233" s="679"/>
      <c r="D233" s="679"/>
      <c r="E233" s="680"/>
      <c r="F233" s="681"/>
      <c r="G233" s="682" t="s">
        <v>816</v>
      </c>
      <c r="H233" s="3"/>
    </row>
    <row r="234" spans="1:9" ht="15" customHeight="1">
      <c r="A234" s="690" t="s">
        <v>1924</v>
      </c>
      <c r="B234" s="678" t="s">
        <v>778</v>
      </c>
      <c r="C234" s="679"/>
      <c r="D234" s="679"/>
      <c r="E234" s="680"/>
      <c r="F234" s="681"/>
      <c r="G234" s="682" t="s">
        <v>816</v>
      </c>
      <c r="H234" s="3"/>
    </row>
    <row r="235" spans="1:9" ht="15" customHeight="1">
      <c r="A235" s="690" t="s">
        <v>1927</v>
      </c>
      <c r="B235" s="678" t="s">
        <v>779</v>
      </c>
      <c r="C235" s="679"/>
      <c r="D235" s="679"/>
      <c r="E235" s="680"/>
      <c r="F235" s="681"/>
      <c r="G235" s="682" t="e">
        <v>#N/A</v>
      </c>
      <c r="H235" s="3"/>
    </row>
    <row r="236" spans="1:9" ht="15" customHeight="1">
      <c r="A236" s="690" t="s">
        <v>1930</v>
      </c>
      <c r="B236" s="678" t="s">
        <v>780</v>
      </c>
      <c r="C236" s="679"/>
      <c r="D236" s="679"/>
      <c r="E236" s="680"/>
      <c r="F236" s="681"/>
      <c r="G236" s="682" t="e">
        <v>#N/A</v>
      </c>
      <c r="H236" s="3"/>
    </row>
    <row r="237" spans="1:9" ht="15" customHeight="1">
      <c r="A237" s="690" t="s">
        <v>1933</v>
      </c>
      <c r="B237" s="678" t="s">
        <v>1014</v>
      </c>
      <c r="C237" s="679" t="s">
        <v>152</v>
      </c>
      <c r="D237" s="679" t="s">
        <v>3859</v>
      </c>
      <c r="E237" s="680" t="s">
        <v>303</v>
      </c>
      <c r="F237" s="681" t="s">
        <v>1368</v>
      </c>
      <c r="G237" s="682" t="s">
        <v>963</v>
      </c>
      <c r="H237" s="3"/>
      <c r="I237" s="1194" t="s">
        <v>3859</v>
      </c>
    </row>
    <row r="238" spans="1:9" ht="15" customHeight="1">
      <c r="A238" s="690" t="s">
        <v>1017</v>
      </c>
      <c r="B238" s="678" t="s">
        <v>1016</v>
      </c>
      <c r="C238" s="679" t="s">
        <v>152</v>
      </c>
      <c r="D238" s="679" t="s">
        <v>3859</v>
      </c>
      <c r="E238" s="686" t="s">
        <v>341</v>
      </c>
      <c r="F238" s="686"/>
      <c r="G238" s="682" t="s">
        <v>1154</v>
      </c>
      <c r="H238" s="3"/>
    </row>
    <row r="239" spans="1:9" ht="15" customHeight="1">
      <c r="A239" s="690" t="s">
        <v>1939</v>
      </c>
      <c r="B239" s="678" t="s">
        <v>781</v>
      </c>
      <c r="C239" s="679"/>
      <c r="D239" s="679"/>
      <c r="E239" s="680"/>
      <c r="F239" s="681"/>
      <c r="G239" s="682" t="e">
        <v>#N/A</v>
      </c>
      <c r="H239" s="3"/>
    </row>
    <row r="240" spans="1:9" ht="15" customHeight="1">
      <c r="A240" s="690" t="s">
        <v>1942</v>
      </c>
      <c r="B240" s="678" t="s">
        <v>1018</v>
      </c>
      <c r="C240" s="679" t="s">
        <v>152</v>
      </c>
      <c r="D240" s="679" t="s">
        <v>156</v>
      </c>
      <c r="E240" s="680" t="s">
        <v>303</v>
      </c>
      <c r="F240" s="681" t="s">
        <v>1368</v>
      </c>
      <c r="G240" s="682" t="s">
        <v>7</v>
      </c>
      <c r="H240" s="3"/>
    </row>
    <row r="241" spans="1:8" ht="15" customHeight="1">
      <c r="A241" s="690" t="s">
        <v>1021</v>
      </c>
      <c r="B241" s="678" t="s">
        <v>1020</v>
      </c>
      <c r="C241" s="679" t="s">
        <v>152</v>
      </c>
      <c r="D241" s="679" t="s">
        <v>156</v>
      </c>
      <c r="E241" s="686" t="s">
        <v>341</v>
      </c>
      <c r="F241" s="686"/>
      <c r="G241" s="682" t="s">
        <v>1154</v>
      </c>
      <c r="H241" s="3"/>
    </row>
    <row r="242" spans="1:8" ht="15" customHeight="1">
      <c r="A242" s="690" t="s">
        <v>1947</v>
      </c>
      <c r="B242" s="678" t="s">
        <v>782</v>
      </c>
      <c r="C242" s="679"/>
      <c r="D242" s="679"/>
      <c r="E242" s="680"/>
      <c r="F242" s="681"/>
      <c r="G242" s="682" t="e">
        <v>#N/A</v>
      </c>
      <c r="H242" s="3"/>
    </row>
    <row r="243" spans="1:8" ht="15" customHeight="1">
      <c r="A243" s="690" t="s">
        <v>1950</v>
      </c>
      <c r="B243" s="678" t="s">
        <v>783</v>
      </c>
      <c r="C243" s="679"/>
      <c r="D243" s="679"/>
      <c r="E243" s="680"/>
      <c r="F243" s="681"/>
      <c r="G243" s="682" t="s">
        <v>816</v>
      </c>
      <c r="H243" s="3"/>
    </row>
    <row r="244" spans="1:8" ht="15" customHeight="1">
      <c r="A244" s="690" t="s">
        <v>3354</v>
      </c>
      <c r="B244" s="678" t="s">
        <v>1333</v>
      </c>
      <c r="C244" s="679"/>
      <c r="D244" s="679"/>
      <c r="E244" s="680"/>
      <c r="F244" s="681"/>
      <c r="G244" s="682" t="e">
        <v>#N/A</v>
      </c>
      <c r="H244" s="3"/>
    </row>
    <row r="245" spans="1:8" ht="15" customHeight="1">
      <c r="A245" s="690" t="s">
        <v>1023</v>
      </c>
      <c r="B245" s="678" t="s">
        <v>1022</v>
      </c>
      <c r="C245" s="679" t="s">
        <v>161</v>
      </c>
      <c r="D245" s="679" t="s">
        <v>164</v>
      </c>
      <c r="E245" s="680" t="s">
        <v>303</v>
      </c>
      <c r="F245" s="681" t="s">
        <v>1368</v>
      </c>
      <c r="G245" s="682" t="s">
        <v>963</v>
      </c>
      <c r="H245" s="4"/>
    </row>
    <row r="246" spans="1:8" ht="15" customHeight="1">
      <c r="A246" s="690" t="s">
        <v>1024</v>
      </c>
      <c r="B246" s="678" t="s">
        <v>1022</v>
      </c>
      <c r="C246" s="679" t="s">
        <v>161</v>
      </c>
      <c r="D246" s="679" t="s">
        <v>164</v>
      </c>
      <c r="E246" s="686" t="s">
        <v>341</v>
      </c>
      <c r="F246" s="686"/>
      <c r="G246" s="682" t="s">
        <v>1154</v>
      </c>
      <c r="H246" s="3"/>
    </row>
    <row r="247" spans="1:8" ht="15" customHeight="1">
      <c r="A247" s="690" t="s">
        <v>1026</v>
      </c>
      <c r="B247" s="678" t="s">
        <v>1025</v>
      </c>
      <c r="C247" s="679" t="s">
        <v>161</v>
      </c>
      <c r="D247" s="679" t="s">
        <v>168</v>
      </c>
      <c r="E247" s="680" t="s">
        <v>303</v>
      </c>
      <c r="F247" s="681" t="s">
        <v>1368</v>
      </c>
      <c r="G247" s="682" t="s">
        <v>7</v>
      </c>
      <c r="H247" s="3"/>
    </row>
    <row r="248" spans="1:8" ht="15" customHeight="1">
      <c r="A248" s="690" t="s">
        <v>1423</v>
      </c>
      <c r="B248" s="678" t="s">
        <v>1424</v>
      </c>
      <c r="C248" s="679" t="s">
        <v>161</v>
      </c>
      <c r="D248" s="679" t="s">
        <v>168</v>
      </c>
      <c r="E248" s="686" t="s">
        <v>341</v>
      </c>
      <c r="F248" s="686"/>
      <c r="G248" s="680" t="e">
        <v>#N/A</v>
      </c>
      <c r="H248" s="3"/>
    </row>
    <row r="249" spans="1:8" ht="15" customHeight="1">
      <c r="A249" s="690" t="s">
        <v>1028</v>
      </c>
      <c r="B249" s="678" t="s">
        <v>1027</v>
      </c>
      <c r="C249" s="679" t="s">
        <v>161</v>
      </c>
      <c r="D249" s="679" t="s">
        <v>166</v>
      </c>
      <c r="E249" s="680" t="s">
        <v>303</v>
      </c>
      <c r="F249" s="681" t="s">
        <v>1368</v>
      </c>
      <c r="G249" s="682" t="s">
        <v>963</v>
      </c>
      <c r="H249" s="3"/>
    </row>
    <row r="250" spans="1:8" ht="15" customHeight="1">
      <c r="A250" s="690" t="s">
        <v>1029</v>
      </c>
      <c r="B250" s="678" t="s">
        <v>1027</v>
      </c>
      <c r="C250" s="679" t="s">
        <v>161</v>
      </c>
      <c r="D250" s="679" t="s">
        <v>166</v>
      </c>
      <c r="E250" s="686" t="s">
        <v>341</v>
      </c>
      <c r="F250" s="686"/>
      <c r="G250" s="682" t="e">
        <v>#N/A</v>
      </c>
      <c r="H250" s="3"/>
    </row>
    <row r="251" spans="1:8" ht="15" customHeight="1">
      <c r="A251" s="678" t="s">
        <v>1031</v>
      </c>
      <c r="B251" s="678" t="s">
        <v>1030</v>
      </c>
      <c r="C251" s="679" t="s">
        <v>161</v>
      </c>
      <c r="D251" s="679" t="s">
        <v>167</v>
      </c>
      <c r="E251" s="680" t="s">
        <v>303</v>
      </c>
      <c r="F251" s="681" t="s">
        <v>1368</v>
      </c>
      <c r="G251" s="682" t="s">
        <v>7</v>
      </c>
      <c r="H251" s="3"/>
    </row>
    <row r="252" spans="1:8" ht="15" customHeight="1">
      <c r="A252" s="690" t="s">
        <v>1032</v>
      </c>
      <c r="B252" s="678" t="s">
        <v>1030</v>
      </c>
      <c r="C252" s="679" t="s">
        <v>161</v>
      </c>
      <c r="D252" s="679" t="s">
        <v>167</v>
      </c>
      <c r="E252" s="686" t="s">
        <v>341</v>
      </c>
      <c r="F252" s="686"/>
      <c r="G252" s="682" t="e">
        <v>#N/A</v>
      </c>
      <c r="H252" s="3"/>
    </row>
    <row r="253" spans="1:8" ht="15" customHeight="1">
      <c r="A253" s="678" t="s">
        <v>1969</v>
      </c>
      <c r="B253" s="688" t="s">
        <v>1379</v>
      </c>
      <c r="C253" s="679" t="s">
        <v>161</v>
      </c>
      <c r="D253" s="679" t="s">
        <v>164</v>
      </c>
      <c r="E253" s="680" t="s">
        <v>303</v>
      </c>
      <c r="F253" s="681" t="s">
        <v>1368</v>
      </c>
      <c r="G253" s="680" t="s">
        <v>963</v>
      </c>
      <c r="H253" s="3"/>
    </row>
    <row r="254" spans="1:8" ht="15" customHeight="1">
      <c r="A254" s="690" t="s">
        <v>1425</v>
      </c>
      <c r="B254" s="678" t="s">
        <v>1426</v>
      </c>
      <c r="C254" s="679" t="s">
        <v>161</v>
      </c>
      <c r="D254" s="679" t="s">
        <v>164</v>
      </c>
      <c r="E254" s="686" t="s">
        <v>341</v>
      </c>
      <c r="F254" s="686"/>
      <c r="G254" s="680" t="e">
        <v>#N/A</v>
      </c>
      <c r="H254" s="3"/>
    </row>
    <row r="255" spans="1:8" ht="15" customHeight="1">
      <c r="A255" s="690" t="s">
        <v>3425</v>
      </c>
      <c r="B255" s="678" t="s">
        <v>3424</v>
      </c>
      <c r="C255" s="679" t="s">
        <v>161</v>
      </c>
      <c r="D255" s="679" t="s">
        <v>167</v>
      </c>
      <c r="E255" s="680" t="s">
        <v>303</v>
      </c>
      <c r="F255" s="681" t="s">
        <v>1368</v>
      </c>
      <c r="G255" s="680" t="e">
        <v>#N/A</v>
      </c>
      <c r="H255" s="3"/>
    </row>
    <row r="256" spans="1:8" ht="15" customHeight="1">
      <c r="A256" s="690" t="s">
        <v>1974</v>
      </c>
      <c r="B256" s="678" t="s">
        <v>1033</v>
      </c>
      <c r="C256" s="679" t="s">
        <v>180</v>
      </c>
      <c r="D256" s="679" t="s">
        <v>192</v>
      </c>
      <c r="E256" s="680" t="s">
        <v>303</v>
      </c>
      <c r="F256" s="681" t="s">
        <v>1368</v>
      </c>
      <c r="G256" s="682" t="s">
        <v>7</v>
      </c>
      <c r="H256" s="3"/>
    </row>
    <row r="257" spans="1:8" ht="15" customHeight="1">
      <c r="A257" s="690" t="s">
        <v>1035</v>
      </c>
      <c r="B257" s="678" t="s">
        <v>1033</v>
      </c>
      <c r="C257" s="679" t="s">
        <v>180</v>
      </c>
      <c r="D257" s="679" t="s">
        <v>192</v>
      </c>
      <c r="E257" s="686" t="s">
        <v>341</v>
      </c>
      <c r="F257" s="686"/>
      <c r="G257" s="682" t="e">
        <v>#N/A</v>
      </c>
      <c r="H257" s="3"/>
    </row>
    <row r="258" spans="1:8" ht="15" customHeight="1">
      <c r="A258" s="690" t="s">
        <v>1037</v>
      </c>
      <c r="B258" s="678" t="s">
        <v>1036</v>
      </c>
      <c r="C258" s="679" t="s">
        <v>161</v>
      </c>
      <c r="D258" s="679" t="s">
        <v>172</v>
      </c>
      <c r="E258" s="680" t="s">
        <v>303</v>
      </c>
      <c r="F258" s="681" t="s">
        <v>1368</v>
      </c>
      <c r="G258" s="682" t="e">
        <v>#N/A</v>
      </c>
      <c r="H258" s="3"/>
    </row>
    <row r="259" spans="1:8" ht="15" customHeight="1">
      <c r="A259" s="690" t="s">
        <v>1038</v>
      </c>
      <c r="B259" s="678" t="s">
        <v>1036</v>
      </c>
      <c r="C259" s="679" t="s">
        <v>161</v>
      </c>
      <c r="D259" s="679" t="s">
        <v>172</v>
      </c>
      <c r="E259" s="686" t="s">
        <v>341</v>
      </c>
      <c r="F259" s="686"/>
      <c r="G259" s="682" t="s">
        <v>1285</v>
      </c>
      <c r="H259" s="3"/>
    </row>
    <row r="260" spans="1:8" ht="15" customHeight="1">
      <c r="A260" s="690" t="s">
        <v>1040</v>
      </c>
      <c r="B260" s="678" t="s">
        <v>1039</v>
      </c>
      <c r="C260" s="679" t="s">
        <v>161</v>
      </c>
      <c r="D260" s="679" t="s">
        <v>172</v>
      </c>
      <c r="E260" s="680" t="s">
        <v>303</v>
      </c>
      <c r="F260" s="681" t="s">
        <v>1368</v>
      </c>
      <c r="G260" s="682" t="s">
        <v>963</v>
      </c>
      <c r="H260" s="3"/>
    </row>
    <row r="261" spans="1:8" ht="15" customHeight="1">
      <c r="A261" s="690" t="s">
        <v>1042</v>
      </c>
      <c r="B261" s="678" t="s">
        <v>1041</v>
      </c>
      <c r="C261" s="679" t="s">
        <v>161</v>
      </c>
      <c r="D261" s="679" t="s">
        <v>172</v>
      </c>
      <c r="E261" s="686" t="s">
        <v>341</v>
      </c>
      <c r="F261" s="686"/>
      <c r="G261" s="682" t="s">
        <v>1285</v>
      </c>
      <c r="H261" s="3"/>
    </row>
    <row r="262" spans="1:8" ht="15" customHeight="1">
      <c r="A262" s="690" t="s">
        <v>1044</v>
      </c>
      <c r="B262" s="678" t="s">
        <v>1043</v>
      </c>
      <c r="C262" s="679" t="s">
        <v>161</v>
      </c>
      <c r="D262" s="679" t="s">
        <v>172</v>
      </c>
      <c r="E262" s="680" t="s">
        <v>303</v>
      </c>
      <c r="F262" s="681" t="s">
        <v>1368</v>
      </c>
      <c r="G262" s="682" t="s">
        <v>7</v>
      </c>
      <c r="H262" s="3"/>
    </row>
    <row r="263" spans="1:8" ht="15" customHeight="1">
      <c r="A263" s="690" t="s">
        <v>1046</v>
      </c>
      <c r="B263" s="678" t="s">
        <v>1045</v>
      </c>
      <c r="C263" s="679" t="s">
        <v>161</v>
      </c>
      <c r="D263" s="679" t="s">
        <v>172</v>
      </c>
      <c r="E263" s="686" t="s">
        <v>341</v>
      </c>
      <c r="F263" s="686"/>
      <c r="G263" s="682" t="e">
        <v>#N/A</v>
      </c>
      <c r="H263" s="3"/>
    </row>
    <row r="264" spans="1:8" ht="15" customHeight="1">
      <c r="A264" s="690" t="s">
        <v>3334</v>
      </c>
      <c r="B264" s="678" t="s">
        <v>1047</v>
      </c>
      <c r="C264" s="679" t="s">
        <v>176</v>
      </c>
      <c r="D264" s="679" t="s">
        <v>177</v>
      </c>
      <c r="E264" s="680" t="s">
        <v>303</v>
      </c>
      <c r="F264" s="681" t="s">
        <v>1368</v>
      </c>
      <c r="G264" s="682" t="s">
        <v>963</v>
      </c>
      <c r="H264" s="3"/>
    </row>
    <row r="265" spans="1:8" ht="15" customHeight="1">
      <c r="A265" s="1020" t="s">
        <v>1049</v>
      </c>
      <c r="B265" s="678" t="s">
        <v>1048</v>
      </c>
      <c r="C265" s="679" t="s">
        <v>176</v>
      </c>
      <c r="D265" s="679" t="s">
        <v>177</v>
      </c>
      <c r="E265" s="686" t="s">
        <v>341</v>
      </c>
      <c r="F265" s="686"/>
      <c r="G265" s="682" t="e">
        <v>#N/A</v>
      </c>
      <c r="H265" s="3"/>
    </row>
    <row r="266" spans="1:8" ht="15" customHeight="1">
      <c r="A266" s="690" t="s">
        <v>3427</v>
      </c>
      <c r="B266" s="678" t="s">
        <v>3426</v>
      </c>
      <c r="C266" s="679" t="s">
        <v>161</v>
      </c>
      <c r="D266" s="679" t="s">
        <v>173</v>
      </c>
      <c r="E266" s="680" t="s">
        <v>303</v>
      </c>
      <c r="F266" s="681" t="s">
        <v>1368</v>
      </c>
      <c r="G266" s="682" t="s">
        <v>7</v>
      </c>
      <c r="H266" s="3"/>
    </row>
    <row r="267" spans="1:8" ht="15" customHeight="1">
      <c r="A267" s="1020" t="s">
        <v>3431</v>
      </c>
      <c r="B267" s="678" t="s">
        <v>3430</v>
      </c>
      <c r="C267" s="679" t="s">
        <v>161</v>
      </c>
      <c r="D267" s="679" t="s">
        <v>173</v>
      </c>
      <c r="E267" s="686" t="s">
        <v>341</v>
      </c>
      <c r="F267" s="686"/>
      <c r="G267" s="682" t="s">
        <v>7</v>
      </c>
      <c r="H267" s="3"/>
    </row>
    <row r="268" spans="1:8" ht="15" customHeight="1">
      <c r="A268" s="690" t="s">
        <v>1051</v>
      </c>
      <c r="B268" s="678" t="s">
        <v>1050</v>
      </c>
      <c r="C268" s="679" t="s">
        <v>176</v>
      </c>
      <c r="D268" s="679" t="s">
        <v>177</v>
      </c>
      <c r="E268" s="680" t="s">
        <v>303</v>
      </c>
      <c r="F268" s="681" t="s">
        <v>1368</v>
      </c>
      <c r="G268" s="682" t="s">
        <v>1285</v>
      </c>
      <c r="H268" s="3"/>
    </row>
    <row r="269" spans="1:8" ht="15" customHeight="1">
      <c r="A269" s="690" t="s">
        <v>1053</v>
      </c>
      <c r="B269" s="678" t="s">
        <v>1052</v>
      </c>
      <c r="C269" s="679" t="s">
        <v>176</v>
      </c>
      <c r="D269" s="679" t="s">
        <v>177</v>
      </c>
      <c r="E269" s="686" t="s">
        <v>341</v>
      </c>
      <c r="F269" s="686"/>
      <c r="G269" s="682" t="s">
        <v>7</v>
      </c>
      <c r="H269" s="3"/>
    </row>
    <row r="270" spans="1:8" ht="15" customHeight="1">
      <c r="A270" s="690" t="s">
        <v>1055</v>
      </c>
      <c r="B270" s="678" t="s">
        <v>1054</v>
      </c>
      <c r="C270" s="679" t="s">
        <v>176</v>
      </c>
      <c r="D270" s="679" t="s">
        <v>177</v>
      </c>
      <c r="E270" s="680" t="s">
        <v>303</v>
      </c>
      <c r="F270" s="681" t="s">
        <v>1368</v>
      </c>
      <c r="G270" s="682" t="s">
        <v>1285</v>
      </c>
      <c r="H270" s="3"/>
    </row>
    <row r="271" spans="1:8" ht="15" customHeight="1">
      <c r="A271" s="690" t="s">
        <v>1057</v>
      </c>
      <c r="B271" s="678" t="s">
        <v>1056</v>
      </c>
      <c r="C271" s="679" t="s">
        <v>176</v>
      </c>
      <c r="D271" s="679" t="s">
        <v>177</v>
      </c>
      <c r="E271" s="686" t="s">
        <v>341</v>
      </c>
      <c r="F271" s="686"/>
      <c r="G271" s="682" t="s">
        <v>7</v>
      </c>
      <c r="H271" s="3"/>
    </row>
    <row r="272" spans="1:8" ht="15" customHeight="1">
      <c r="A272" s="690" t="s">
        <v>1059</v>
      </c>
      <c r="B272" s="678" t="s">
        <v>1058</v>
      </c>
      <c r="C272" s="679" t="s">
        <v>176</v>
      </c>
      <c r="D272" s="679" t="s">
        <v>177</v>
      </c>
      <c r="E272" s="680" t="s">
        <v>303</v>
      </c>
      <c r="F272" s="681" t="s">
        <v>1368</v>
      </c>
      <c r="G272" s="682" t="s">
        <v>1285</v>
      </c>
      <c r="H272" s="3"/>
    </row>
    <row r="273" spans="1:8" ht="15" customHeight="1">
      <c r="A273" s="678" t="s">
        <v>1061</v>
      </c>
      <c r="B273" s="678" t="s">
        <v>1060</v>
      </c>
      <c r="C273" s="679" t="s">
        <v>176</v>
      </c>
      <c r="D273" s="679" t="s">
        <v>177</v>
      </c>
      <c r="E273" s="686" t="s">
        <v>341</v>
      </c>
      <c r="F273" s="686"/>
      <c r="G273" s="682" t="s">
        <v>7</v>
      </c>
      <c r="H273" s="3"/>
    </row>
    <row r="274" spans="1:8" ht="15" customHeight="1">
      <c r="A274" s="690" t="s">
        <v>1063</v>
      </c>
      <c r="B274" s="678" t="s">
        <v>1062</v>
      </c>
      <c r="C274" s="679" t="s">
        <v>180</v>
      </c>
      <c r="D274" s="679" t="s">
        <v>182</v>
      </c>
      <c r="E274" s="680" t="s">
        <v>303</v>
      </c>
      <c r="F274" s="681" t="s">
        <v>1368</v>
      </c>
      <c r="G274" s="682" t="s">
        <v>963</v>
      </c>
      <c r="H274" s="3"/>
    </row>
    <row r="275" spans="1:8" ht="15" customHeight="1">
      <c r="A275" s="690" t="s">
        <v>1065</v>
      </c>
      <c r="B275" s="678" t="s">
        <v>1064</v>
      </c>
      <c r="C275" s="679" t="s">
        <v>180</v>
      </c>
      <c r="D275" s="679" t="s">
        <v>182</v>
      </c>
      <c r="E275" s="686" t="s">
        <v>341</v>
      </c>
      <c r="F275" s="686"/>
      <c r="G275" s="682" t="e">
        <v>#N/A</v>
      </c>
      <c r="H275" s="3"/>
    </row>
    <row r="276" spans="1:8" ht="15" customHeight="1">
      <c r="A276" s="690" t="s">
        <v>1067</v>
      </c>
      <c r="B276" s="678" t="s">
        <v>1066</v>
      </c>
      <c r="C276" s="679" t="s">
        <v>161</v>
      </c>
      <c r="D276" s="679" t="s">
        <v>164</v>
      </c>
      <c r="E276" s="680" t="s">
        <v>303</v>
      </c>
      <c r="F276" s="681" t="s">
        <v>1368</v>
      </c>
      <c r="G276" s="682" t="s">
        <v>7</v>
      </c>
      <c r="H276" s="3"/>
    </row>
    <row r="277" spans="1:8" ht="15" customHeight="1">
      <c r="A277" s="690" t="s">
        <v>1069</v>
      </c>
      <c r="B277" s="678" t="s">
        <v>1068</v>
      </c>
      <c r="C277" s="679" t="s">
        <v>180</v>
      </c>
      <c r="D277" s="679" t="s">
        <v>184</v>
      </c>
      <c r="E277" s="680" t="s">
        <v>303</v>
      </c>
      <c r="F277" s="681" t="s">
        <v>1368</v>
      </c>
      <c r="G277" s="682" t="s">
        <v>963</v>
      </c>
      <c r="H277" s="3"/>
    </row>
    <row r="278" spans="1:8" ht="15" customHeight="1">
      <c r="A278" s="690" t="s">
        <v>1071</v>
      </c>
      <c r="B278" s="678" t="s">
        <v>1070</v>
      </c>
      <c r="C278" s="679" t="s">
        <v>180</v>
      </c>
      <c r="D278" s="679" t="s">
        <v>184</v>
      </c>
      <c r="E278" s="686" t="s">
        <v>341</v>
      </c>
      <c r="F278" s="681"/>
      <c r="G278" s="682" t="s">
        <v>1285</v>
      </c>
      <c r="H278" s="3"/>
    </row>
    <row r="279" spans="1:8" ht="15" customHeight="1">
      <c r="A279" s="690" t="s">
        <v>3417</v>
      </c>
      <c r="B279" s="678" t="s">
        <v>1066</v>
      </c>
      <c r="C279" s="679" t="s">
        <v>161</v>
      </c>
      <c r="D279" s="679" t="s">
        <v>167</v>
      </c>
      <c r="E279" s="680" t="s">
        <v>303</v>
      </c>
      <c r="F279" s="681" t="s">
        <v>1368</v>
      </c>
      <c r="G279" s="682" t="s">
        <v>7</v>
      </c>
      <c r="H279" s="3"/>
    </row>
    <row r="280" spans="1:8" ht="15" customHeight="1">
      <c r="A280" s="690" t="s">
        <v>1073</v>
      </c>
      <c r="B280" s="678" t="s">
        <v>1072</v>
      </c>
      <c r="C280" s="679" t="s">
        <v>180</v>
      </c>
      <c r="D280" s="679" t="s">
        <v>185</v>
      </c>
      <c r="E280" s="680" t="s">
        <v>303</v>
      </c>
      <c r="F280" s="681" t="s">
        <v>1368</v>
      </c>
      <c r="G280" s="682" t="s">
        <v>963</v>
      </c>
      <c r="H280" s="3"/>
    </row>
    <row r="281" spans="1:8" ht="15" customHeight="1">
      <c r="A281" s="690" t="s">
        <v>1075</v>
      </c>
      <c r="B281" s="678" t="s">
        <v>1074</v>
      </c>
      <c r="C281" s="679" t="s">
        <v>180</v>
      </c>
      <c r="D281" s="679" t="s">
        <v>185</v>
      </c>
      <c r="E281" s="686" t="s">
        <v>341</v>
      </c>
      <c r="F281" s="681"/>
      <c r="G281" s="682" t="s">
        <v>7</v>
      </c>
      <c r="H281" s="3"/>
    </row>
    <row r="282" spans="1:8" ht="15" customHeight="1">
      <c r="A282" s="690" t="s">
        <v>1076</v>
      </c>
      <c r="B282" s="678" t="s">
        <v>1066</v>
      </c>
      <c r="C282" s="679" t="s">
        <v>161</v>
      </c>
      <c r="D282" s="679" t="s">
        <v>167</v>
      </c>
      <c r="E282" s="680" t="s">
        <v>303</v>
      </c>
      <c r="F282" s="681" t="s">
        <v>1368</v>
      </c>
      <c r="G282" s="682" t="s">
        <v>7</v>
      </c>
      <c r="H282" s="3"/>
    </row>
    <row r="283" spans="1:8" ht="15" customHeight="1">
      <c r="A283" s="690" t="s">
        <v>1142</v>
      </c>
      <c r="B283" s="678" t="s">
        <v>1077</v>
      </c>
      <c r="C283" s="679" t="s">
        <v>180</v>
      </c>
      <c r="D283" s="679" t="s">
        <v>182</v>
      </c>
      <c r="E283" s="680" t="s">
        <v>303</v>
      </c>
      <c r="F283" s="681" t="s">
        <v>1368</v>
      </c>
      <c r="G283" s="682" t="s">
        <v>963</v>
      </c>
      <c r="H283" s="3"/>
    </row>
    <row r="284" spans="1:8" ht="15" customHeight="1">
      <c r="A284" s="678" t="s">
        <v>1080</v>
      </c>
      <c r="B284" s="678" t="s">
        <v>1079</v>
      </c>
      <c r="C284" s="679" t="s">
        <v>180</v>
      </c>
      <c r="D284" s="679" t="s">
        <v>182</v>
      </c>
      <c r="E284" s="686" t="s">
        <v>341</v>
      </c>
      <c r="F284" s="681"/>
      <c r="G284" s="682" t="s">
        <v>1285</v>
      </c>
      <c r="H284" s="3"/>
    </row>
    <row r="285" spans="1:8" ht="15" customHeight="1">
      <c r="A285" s="690" t="s">
        <v>3383</v>
      </c>
      <c r="B285" s="678" t="s">
        <v>1081</v>
      </c>
      <c r="C285" s="679" t="s">
        <v>180</v>
      </c>
      <c r="D285" s="679" t="s">
        <v>185</v>
      </c>
      <c r="E285" s="680" t="s">
        <v>303</v>
      </c>
      <c r="F285" s="681" t="s">
        <v>1368</v>
      </c>
      <c r="G285" s="682" t="s">
        <v>7</v>
      </c>
      <c r="H285" s="3"/>
    </row>
    <row r="286" spans="1:8" ht="15" customHeight="1">
      <c r="A286" s="1036" t="s">
        <v>1083</v>
      </c>
      <c r="B286" s="678" t="s">
        <v>1082</v>
      </c>
      <c r="C286" s="679" t="s">
        <v>180</v>
      </c>
      <c r="D286" s="679" t="s">
        <v>185</v>
      </c>
      <c r="E286" s="686" t="s">
        <v>341</v>
      </c>
      <c r="F286" s="681"/>
      <c r="G286" s="682" t="s">
        <v>7</v>
      </c>
      <c r="H286" s="3"/>
    </row>
    <row r="287" spans="1:8" ht="15" customHeight="1">
      <c r="A287" s="678" t="s">
        <v>2022</v>
      </c>
      <c r="B287" s="678" t="s">
        <v>1077</v>
      </c>
      <c r="C287" s="679" t="s">
        <v>180</v>
      </c>
      <c r="D287" s="679" t="s">
        <v>182</v>
      </c>
      <c r="E287" s="680" t="s">
        <v>303</v>
      </c>
      <c r="F287" s="681" t="s">
        <v>1368</v>
      </c>
      <c r="G287" s="680" t="s">
        <v>963</v>
      </c>
      <c r="H287" s="3"/>
    </row>
    <row r="288" spans="1:8" ht="15" customHeight="1">
      <c r="A288" s="690" t="s">
        <v>1427</v>
      </c>
      <c r="B288" s="678" t="s">
        <v>1428</v>
      </c>
      <c r="C288" s="679" t="s">
        <v>180</v>
      </c>
      <c r="D288" s="679" t="s">
        <v>182</v>
      </c>
      <c r="E288" s="686" t="s">
        <v>341</v>
      </c>
      <c r="F288" s="681"/>
      <c r="G288" s="680" t="s">
        <v>1285</v>
      </c>
      <c r="H288" s="3"/>
    </row>
    <row r="289" spans="1:8" ht="15" customHeight="1">
      <c r="A289" s="690" t="s">
        <v>1086</v>
      </c>
      <c r="B289" s="678" t="s">
        <v>1085</v>
      </c>
      <c r="C289" s="679" t="s">
        <v>180</v>
      </c>
      <c r="D289" s="679" t="s">
        <v>183</v>
      </c>
      <c r="E289" s="680" t="s">
        <v>303</v>
      </c>
      <c r="F289" s="681" t="s">
        <v>1368</v>
      </c>
      <c r="G289" s="682" t="s">
        <v>963</v>
      </c>
      <c r="H289" s="3"/>
    </row>
    <row r="290" spans="1:8" ht="15" customHeight="1">
      <c r="A290" s="690" t="s">
        <v>1088</v>
      </c>
      <c r="B290" s="678" t="s">
        <v>1087</v>
      </c>
      <c r="C290" s="679" t="s">
        <v>180</v>
      </c>
      <c r="D290" s="679" t="s">
        <v>183</v>
      </c>
      <c r="E290" s="686" t="s">
        <v>341</v>
      </c>
      <c r="F290" s="681"/>
      <c r="G290" s="682" t="s">
        <v>7</v>
      </c>
      <c r="H290" s="3"/>
    </row>
    <row r="291" spans="1:8" ht="15" customHeight="1">
      <c r="A291" s="690" t="s">
        <v>1090</v>
      </c>
      <c r="B291" s="685" t="s">
        <v>1089</v>
      </c>
      <c r="C291" s="679" t="s">
        <v>180</v>
      </c>
      <c r="D291" s="679" t="s">
        <v>183</v>
      </c>
      <c r="E291" s="680" t="s">
        <v>303</v>
      </c>
      <c r="F291" s="681" t="s">
        <v>1368</v>
      </c>
      <c r="G291" s="682" t="s">
        <v>7</v>
      </c>
      <c r="H291" s="3"/>
    </row>
    <row r="292" spans="1:8" ht="15" customHeight="1">
      <c r="A292" s="690" t="s">
        <v>1092</v>
      </c>
      <c r="B292" s="685" t="s">
        <v>1091</v>
      </c>
      <c r="C292" s="679" t="s">
        <v>180</v>
      </c>
      <c r="D292" s="679" t="s">
        <v>183</v>
      </c>
      <c r="E292" s="686" t="s">
        <v>341</v>
      </c>
      <c r="F292" s="681"/>
      <c r="G292" s="682" t="s">
        <v>1285</v>
      </c>
      <c r="H292" s="3"/>
    </row>
    <row r="293" spans="1:8" ht="15" customHeight="1">
      <c r="A293" s="678" t="s">
        <v>1094</v>
      </c>
      <c r="B293" s="685" t="s">
        <v>1093</v>
      </c>
      <c r="C293" s="679" t="s">
        <v>180</v>
      </c>
      <c r="D293" s="679" t="s">
        <v>183</v>
      </c>
      <c r="E293" s="680" t="s">
        <v>303</v>
      </c>
      <c r="F293" s="681" t="s">
        <v>1368</v>
      </c>
      <c r="G293" s="682" t="e">
        <v>#N/A</v>
      </c>
      <c r="H293" s="3"/>
    </row>
    <row r="294" spans="1:8" ht="15" customHeight="1">
      <c r="A294" s="690" t="s">
        <v>1096</v>
      </c>
      <c r="B294" s="685" t="s">
        <v>1095</v>
      </c>
      <c r="C294" s="679" t="s">
        <v>180</v>
      </c>
      <c r="D294" s="679" t="s">
        <v>183</v>
      </c>
      <c r="E294" s="686" t="s">
        <v>341</v>
      </c>
      <c r="F294" s="681"/>
      <c r="G294" s="682" t="s">
        <v>7</v>
      </c>
      <c r="H294" s="3"/>
    </row>
    <row r="295" spans="1:8" ht="15" customHeight="1">
      <c r="A295" s="690" t="s">
        <v>1098</v>
      </c>
      <c r="B295" s="685" t="s">
        <v>1097</v>
      </c>
      <c r="C295" s="679" t="s">
        <v>180</v>
      </c>
      <c r="D295" s="679" t="s">
        <v>186</v>
      </c>
      <c r="E295" s="680" t="s">
        <v>303</v>
      </c>
      <c r="F295" s="681" t="s">
        <v>1368</v>
      </c>
      <c r="G295" s="682" t="e">
        <v>#N/A</v>
      </c>
      <c r="H295" s="3"/>
    </row>
    <row r="296" spans="1:8" ht="15" customHeight="1">
      <c r="A296" s="690" t="s">
        <v>1100</v>
      </c>
      <c r="B296" s="685" t="s">
        <v>1099</v>
      </c>
      <c r="C296" s="679" t="s">
        <v>180</v>
      </c>
      <c r="D296" s="679" t="s">
        <v>186</v>
      </c>
      <c r="E296" s="686" t="s">
        <v>341</v>
      </c>
      <c r="F296" s="681"/>
      <c r="G296" s="682" t="s">
        <v>1285</v>
      </c>
      <c r="H296" s="3"/>
    </row>
    <row r="297" spans="1:8" ht="15" customHeight="1">
      <c r="A297" s="690" t="s">
        <v>1102</v>
      </c>
      <c r="B297" s="685" t="s">
        <v>1101</v>
      </c>
      <c r="C297" s="679" t="s">
        <v>180</v>
      </c>
      <c r="D297" s="679" t="s">
        <v>187</v>
      </c>
      <c r="E297" s="680" t="s">
        <v>303</v>
      </c>
      <c r="F297" s="681" t="s">
        <v>1368</v>
      </c>
      <c r="G297" s="682" t="e">
        <v>#N/A</v>
      </c>
      <c r="H297" s="3"/>
    </row>
    <row r="298" spans="1:8" ht="15" customHeight="1">
      <c r="A298" s="690" t="s">
        <v>1104</v>
      </c>
      <c r="B298" s="685" t="s">
        <v>1103</v>
      </c>
      <c r="C298" s="679" t="s">
        <v>180</v>
      </c>
      <c r="D298" s="679" t="s">
        <v>187</v>
      </c>
      <c r="E298" s="686" t="s">
        <v>341</v>
      </c>
      <c r="F298" s="681"/>
      <c r="G298" s="682" t="s">
        <v>7</v>
      </c>
      <c r="H298" s="3"/>
    </row>
    <row r="299" spans="1:8" ht="15" customHeight="1">
      <c r="A299" s="690" t="s">
        <v>1106</v>
      </c>
      <c r="B299" s="685" t="s">
        <v>1105</v>
      </c>
      <c r="C299" s="679" t="s">
        <v>180</v>
      </c>
      <c r="D299" s="679" t="s">
        <v>191</v>
      </c>
      <c r="E299" s="680" t="s">
        <v>303</v>
      </c>
      <c r="F299" s="681" t="s">
        <v>1368</v>
      </c>
      <c r="G299" s="682" t="e">
        <v>#N/A</v>
      </c>
      <c r="H299" s="3"/>
    </row>
    <row r="300" spans="1:8" ht="15" customHeight="1">
      <c r="A300" s="690" t="s">
        <v>1107</v>
      </c>
      <c r="B300" s="685" t="s">
        <v>1105</v>
      </c>
      <c r="C300" s="679" t="s">
        <v>180</v>
      </c>
      <c r="D300" s="679" t="s">
        <v>191</v>
      </c>
      <c r="E300" s="686" t="s">
        <v>341</v>
      </c>
      <c r="F300" s="681"/>
      <c r="G300" s="682" t="s">
        <v>1285</v>
      </c>
      <c r="H300" s="3"/>
    </row>
    <row r="301" spans="1:8" ht="15" customHeight="1">
      <c r="A301" s="690" t="s">
        <v>2050</v>
      </c>
      <c r="B301" s="685" t="s">
        <v>1108</v>
      </c>
      <c r="C301" s="679" t="s">
        <v>180</v>
      </c>
      <c r="D301" s="679" t="s">
        <v>191</v>
      </c>
      <c r="E301" s="680" t="s">
        <v>303</v>
      </c>
      <c r="F301" s="681" t="s">
        <v>1368</v>
      </c>
      <c r="G301" s="682" t="s">
        <v>963</v>
      </c>
      <c r="H301" s="3"/>
    </row>
    <row r="302" spans="1:8" ht="15" customHeight="1">
      <c r="A302" s="1019" t="s">
        <v>785</v>
      </c>
      <c r="B302" s="695" t="s">
        <v>724</v>
      </c>
      <c r="C302" s="693"/>
      <c r="D302" s="679"/>
      <c r="E302" s="686"/>
      <c r="F302" s="681"/>
      <c r="G302" s="682" t="s">
        <v>816</v>
      </c>
      <c r="H302" s="3"/>
    </row>
    <row r="303" spans="1:8" ht="15" customHeight="1">
      <c r="A303" s="1019" t="s">
        <v>2055</v>
      </c>
      <c r="B303" s="694" t="s">
        <v>784</v>
      </c>
      <c r="C303" s="679"/>
      <c r="D303" s="679"/>
      <c r="E303" s="680" t="s">
        <v>303</v>
      </c>
      <c r="F303" s="680"/>
      <c r="G303" s="682" t="e">
        <v>#N/A</v>
      </c>
      <c r="H303" s="3"/>
    </row>
    <row r="304" spans="1:8" ht="15" customHeight="1">
      <c r="A304" s="692" t="s">
        <v>2058</v>
      </c>
      <c r="B304" s="694" t="s">
        <v>1109</v>
      </c>
      <c r="C304" s="679" t="s">
        <v>92</v>
      </c>
      <c r="D304" s="679" t="s">
        <v>104</v>
      </c>
      <c r="E304" s="680" t="s">
        <v>303</v>
      </c>
      <c r="F304" s="681"/>
      <c r="G304" s="682" t="s">
        <v>7</v>
      </c>
      <c r="H304" s="3"/>
    </row>
    <row r="305" spans="1:8" ht="15" customHeight="1">
      <c r="A305" s="1019" t="s">
        <v>2061</v>
      </c>
      <c r="B305" s="685" t="s">
        <v>1380</v>
      </c>
      <c r="C305" s="679" t="s">
        <v>92</v>
      </c>
      <c r="D305" s="679" t="s">
        <v>97</v>
      </c>
      <c r="E305" s="680" t="s">
        <v>303</v>
      </c>
      <c r="F305" s="680"/>
      <c r="G305" s="680" t="s">
        <v>963</v>
      </c>
      <c r="H305" s="3"/>
    </row>
    <row r="306" spans="1:8" ht="15" customHeight="1">
      <c r="A306" s="1019" t="s">
        <v>2064</v>
      </c>
      <c r="B306" s="1041" t="s">
        <v>1381</v>
      </c>
      <c r="C306" s="679" t="s">
        <v>92</v>
      </c>
      <c r="D306" s="679" t="s">
        <v>97</v>
      </c>
      <c r="E306" s="680" t="s">
        <v>303</v>
      </c>
      <c r="F306" s="680"/>
      <c r="G306" s="680" t="s">
        <v>7</v>
      </c>
      <c r="H306" s="3"/>
    </row>
    <row r="307" spans="1:8" ht="15" customHeight="1">
      <c r="A307" s="1019" t="s">
        <v>2067</v>
      </c>
      <c r="B307" s="695" t="s">
        <v>1382</v>
      </c>
      <c r="C307" s="693" t="s">
        <v>92</v>
      </c>
      <c r="D307" s="679" t="s">
        <v>97</v>
      </c>
      <c r="E307" s="680" t="s">
        <v>303</v>
      </c>
      <c r="F307" s="680"/>
      <c r="G307" s="680" t="s">
        <v>963</v>
      </c>
      <c r="H307" s="3"/>
    </row>
    <row r="308" spans="1:8" ht="15" customHeight="1">
      <c r="A308" s="690" t="s">
        <v>2070</v>
      </c>
      <c r="B308" s="678" t="s">
        <v>1111</v>
      </c>
      <c r="C308" s="679" t="s">
        <v>92</v>
      </c>
      <c r="D308" s="679" t="s">
        <v>97</v>
      </c>
      <c r="E308" s="680" t="s">
        <v>303</v>
      </c>
      <c r="F308" s="680"/>
      <c r="G308" s="682" t="s">
        <v>7</v>
      </c>
      <c r="H308" s="3"/>
    </row>
    <row r="309" spans="1:8" ht="15" customHeight="1">
      <c r="A309" s="690" t="s">
        <v>1113</v>
      </c>
      <c r="B309" s="685" t="s">
        <v>786</v>
      </c>
      <c r="C309" s="679"/>
      <c r="D309" s="679"/>
      <c r="E309" s="680" t="s">
        <v>303</v>
      </c>
      <c r="F309" s="680"/>
      <c r="G309" s="682" t="e">
        <v>#N/A</v>
      </c>
      <c r="H309" s="3"/>
    </row>
    <row r="310" spans="1:8" ht="15" customHeight="1">
      <c r="A310" s="690" t="s">
        <v>2075</v>
      </c>
      <c r="B310" s="678" t="s">
        <v>1383</v>
      </c>
      <c r="C310" s="679" t="s">
        <v>92</v>
      </c>
      <c r="D310" s="679" t="s">
        <v>97</v>
      </c>
      <c r="E310" s="680" t="s">
        <v>303</v>
      </c>
      <c r="F310" s="680"/>
      <c r="G310" s="682" t="s">
        <v>963</v>
      </c>
      <c r="H310" s="3"/>
    </row>
    <row r="311" spans="1:8" ht="15" customHeight="1">
      <c r="A311" s="690" t="s">
        <v>2078</v>
      </c>
      <c r="B311" s="685" t="s">
        <v>1384</v>
      </c>
      <c r="C311" s="679" t="s">
        <v>92</v>
      </c>
      <c r="D311" s="679" t="s">
        <v>97</v>
      </c>
      <c r="E311" s="680" t="s">
        <v>303</v>
      </c>
      <c r="F311" s="680"/>
      <c r="G311" s="680" t="s">
        <v>7</v>
      </c>
      <c r="H311" s="3"/>
    </row>
    <row r="312" spans="1:8" ht="15" customHeight="1">
      <c r="A312" s="690" t="s">
        <v>2081</v>
      </c>
      <c r="B312" s="678" t="s">
        <v>1385</v>
      </c>
      <c r="C312" s="679" t="s">
        <v>92</v>
      </c>
      <c r="D312" s="679" t="s">
        <v>97</v>
      </c>
      <c r="E312" s="680" t="s">
        <v>303</v>
      </c>
      <c r="F312" s="680"/>
      <c r="G312" s="680" t="s">
        <v>963</v>
      </c>
      <c r="H312" s="3"/>
    </row>
    <row r="313" spans="1:8" ht="15" customHeight="1">
      <c r="A313" s="690" t="s">
        <v>3384</v>
      </c>
      <c r="B313" s="685" t="s">
        <v>1112</v>
      </c>
      <c r="C313" s="679" t="s">
        <v>92</v>
      </c>
      <c r="D313" s="679" t="s">
        <v>98</v>
      </c>
      <c r="E313" s="680" t="s">
        <v>303</v>
      </c>
      <c r="F313" s="680"/>
      <c r="G313" s="682" t="s">
        <v>7</v>
      </c>
      <c r="H313" s="3"/>
    </row>
    <row r="314" spans="1:8" ht="15" customHeight="1">
      <c r="A314" s="690" t="s">
        <v>2084</v>
      </c>
      <c r="B314" s="685" t="s">
        <v>1114</v>
      </c>
      <c r="C314" s="679" t="s">
        <v>92</v>
      </c>
      <c r="D314" s="679" t="s">
        <v>98</v>
      </c>
      <c r="E314" s="680" t="s">
        <v>303</v>
      </c>
      <c r="F314" s="680"/>
      <c r="G314" s="682" t="s">
        <v>963</v>
      </c>
      <c r="H314" s="3"/>
    </row>
    <row r="315" spans="1:8" ht="15" customHeight="1">
      <c r="A315" s="690" t="s">
        <v>2087</v>
      </c>
      <c r="B315" s="678" t="s">
        <v>787</v>
      </c>
      <c r="C315" s="679"/>
      <c r="D315" s="679"/>
      <c r="E315" s="680" t="s">
        <v>303</v>
      </c>
      <c r="F315" s="680"/>
      <c r="G315" s="682" t="e">
        <v>#N/A</v>
      </c>
      <c r="H315" s="3"/>
    </row>
    <row r="316" spans="1:8" ht="15" customHeight="1">
      <c r="A316" s="690" t="s">
        <v>3385</v>
      </c>
      <c r="B316" s="685" t="s">
        <v>1115</v>
      </c>
      <c r="C316" s="679" t="s">
        <v>92</v>
      </c>
      <c r="D316" s="679" t="s">
        <v>98</v>
      </c>
      <c r="E316" s="680" t="s">
        <v>303</v>
      </c>
      <c r="F316" s="681"/>
      <c r="G316" s="682" t="s">
        <v>7</v>
      </c>
      <c r="H316" s="3"/>
    </row>
    <row r="317" spans="1:8" ht="15" customHeight="1">
      <c r="A317" s="690" t="s">
        <v>2090</v>
      </c>
      <c r="B317" s="678" t="s">
        <v>1116</v>
      </c>
      <c r="C317" s="679" t="s">
        <v>92</v>
      </c>
      <c r="D317" s="679" t="s">
        <v>97</v>
      </c>
      <c r="E317" s="680" t="s">
        <v>303</v>
      </c>
      <c r="F317" s="680"/>
      <c r="G317" s="682" t="s">
        <v>963</v>
      </c>
      <c r="H317" s="3"/>
    </row>
    <row r="318" spans="1:8" ht="15" customHeight="1">
      <c r="A318" s="690" t="s">
        <v>2093</v>
      </c>
      <c r="B318" s="678" t="s">
        <v>1117</v>
      </c>
      <c r="C318" s="679" t="s">
        <v>92</v>
      </c>
      <c r="D318" s="679" t="s">
        <v>98</v>
      </c>
      <c r="E318" s="680" t="s">
        <v>303</v>
      </c>
      <c r="F318" s="680"/>
      <c r="G318" s="682" t="e">
        <v>#N/A</v>
      </c>
      <c r="H318" s="3"/>
    </row>
    <row r="319" spans="1:8" ht="15" customHeight="1">
      <c r="A319" s="690" t="s">
        <v>2096</v>
      </c>
      <c r="B319" s="685" t="s">
        <v>1386</v>
      </c>
      <c r="C319" s="679" t="s">
        <v>92</v>
      </c>
      <c r="D319" s="679" t="s">
        <v>97</v>
      </c>
      <c r="E319" s="680" t="s">
        <v>303</v>
      </c>
      <c r="F319" s="680"/>
      <c r="G319" s="680" t="s">
        <v>2</v>
      </c>
      <c r="H319" s="3"/>
    </row>
    <row r="320" spans="1:8" ht="15" customHeight="1">
      <c r="A320" s="690" t="s">
        <v>2099</v>
      </c>
      <c r="B320" s="678" t="s">
        <v>1118</v>
      </c>
      <c r="C320" s="679" t="s">
        <v>92</v>
      </c>
      <c r="D320" s="679" t="s">
        <v>103</v>
      </c>
      <c r="E320" s="680" t="s">
        <v>303</v>
      </c>
      <c r="F320" s="680"/>
      <c r="G320" s="682" t="s">
        <v>1110</v>
      </c>
      <c r="H320" s="3"/>
    </row>
    <row r="321" spans="1:8" ht="15" customHeight="1">
      <c r="A321" s="690" t="s">
        <v>2102</v>
      </c>
      <c r="B321" s="685" t="s">
        <v>1118</v>
      </c>
      <c r="C321" s="679" t="s">
        <v>92</v>
      </c>
      <c r="D321" s="679" t="s">
        <v>102</v>
      </c>
      <c r="E321" s="680" t="s">
        <v>303</v>
      </c>
      <c r="F321" s="680"/>
      <c r="G321" s="682" t="e">
        <v>#N/A</v>
      </c>
      <c r="H321" s="3"/>
    </row>
    <row r="322" spans="1:8" ht="15" customHeight="1">
      <c r="A322" s="690" t="s">
        <v>3896</v>
      </c>
      <c r="B322" s="685" t="s">
        <v>3895</v>
      </c>
      <c r="C322" s="679" t="s">
        <v>92</v>
      </c>
      <c r="D322" s="679" t="s">
        <v>98</v>
      </c>
      <c r="E322" s="680" t="s">
        <v>303</v>
      </c>
      <c r="F322" s="680"/>
      <c r="G322" s="682" t="e">
        <v>#N/A</v>
      </c>
      <c r="H322" s="3"/>
    </row>
    <row r="323" spans="1:8" ht="15" customHeight="1">
      <c r="A323" s="690" t="s">
        <v>3955</v>
      </c>
      <c r="B323" s="685" t="s">
        <v>3952</v>
      </c>
      <c r="C323" s="679" t="s">
        <v>92</v>
      </c>
      <c r="D323" s="679" t="s">
        <v>98</v>
      </c>
      <c r="E323" s="680" t="s">
        <v>303</v>
      </c>
      <c r="F323" s="680"/>
      <c r="G323" s="682" t="e">
        <v>#N/A</v>
      </c>
      <c r="H323" s="3"/>
    </row>
    <row r="324" spans="1:8" ht="15" customHeight="1">
      <c r="A324" s="690" t="s">
        <v>1120</v>
      </c>
      <c r="B324" s="678" t="s">
        <v>788</v>
      </c>
      <c r="C324" s="679"/>
      <c r="D324" s="679"/>
      <c r="E324" s="680" t="s">
        <v>303</v>
      </c>
      <c r="F324" s="680"/>
      <c r="G324" s="682" t="e">
        <v>#N/A</v>
      </c>
      <c r="H324" s="3"/>
    </row>
    <row r="325" spans="1:8" ht="15" customHeight="1">
      <c r="A325" s="690" t="s">
        <v>3386</v>
      </c>
      <c r="B325" s="678" t="s">
        <v>1119</v>
      </c>
      <c r="C325" s="679" t="s">
        <v>92</v>
      </c>
      <c r="D325" s="679" t="s">
        <v>97</v>
      </c>
      <c r="E325" s="680" t="s">
        <v>303</v>
      </c>
      <c r="F325" s="680"/>
      <c r="G325" s="682" t="e">
        <v>#N/A</v>
      </c>
      <c r="H325" s="3"/>
    </row>
    <row r="326" spans="1:8" ht="15" customHeight="1">
      <c r="A326" s="690" t="s">
        <v>2107</v>
      </c>
      <c r="B326" s="685" t="s">
        <v>1335</v>
      </c>
      <c r="C326" s="679"/>
      <c r="D326" s="679"/>
      <c r="E326" s="680" t="s">
        <v>303</v>
      </c>
      <c r="F326" s="680"/>
      <c r="G326" s="680" t="s">
        <v>816</v>
      </c>
      <c r="H326" s="3"/>
    </row>
    <row r="327" spans="1:8" ht="15" customHeight="1">
      <c r="A327" s="690" t="s">
        <v>2110</v>
      </c>
      <c r="B327" s="678" t="s">
        <v>789</v>
      </c>
      <c r="C327" s="679"/>
      <c r="D327" s="679"/>
      <c r="E327" s="680" t="s">
        <v>303</v>
      </c>
      <c r="F327" s="680"/>
      <c r="G327" s="682" t="e">
        <v>#N/A</v>
      </c>
      <c r="H327" s="3"/>
    </row>
    <row r="328" spans="1:8" ht="15" customHeight="1">
      <c r="A328" s="690" t="s">
        <v>2113</v>
      </c>
      <c r="B328" s="685" t="s">
        <v>1121</v>
      </c>
      <c r="C328" s="679" t="s">
        <v>152</v>
      </c>
      <c r="D328" s="679" t="s">
        <v>153</v>
      </c>
      <c r="E328" s="680" t="s">
        <v>303</v>
      </c>
      <c r="F328" s="680"/>
      <c r="G328" s="682" t="e">
        <v>#N/A</v>
      </c>
      <c r="H328" s="3"/>
    </row>
    <row r="329" spans="1:8" ht="15" customHeight="1">
      <c r="A329" s="690" t="s">
        <v>2116</v>
      </c>
      <c r="B329" s="678" t="s">
        <v>1122</v>
      </c>
      <c r="C329" s="679" t="s">
        <v>152</v>
      </c>
      <c r="D329" s="679" t="s">
        <v>153</v>
      </c>
      <c r="E329" s="680" t="s">
        <v>303</v>
      </c>
      <c r="F329" s="680"/>
      <c r="G329" s="682" t="s">
        <v>1110</v>
      </c>
      <c r="H329" s="3"/>
    </row>
    <row r="330" spans="1:8" ht="15" customHeight="1">
      <c r="A330" s="690" t="s">
        <v>2119</v>
      </c>
      <c r="B330" s="685" t="s">
        <v>790</v>
      </c>
      <c r="C330" s="679"/>
      <c r="D330" s="679"/>
      <c r="E330" s="680" t="s">
        <v>303</v>
      </c>
      <c r="F330" s="680"/>
      <c r="G330" s="682" t="s">
        <v>816</v>
      </c>
      <c r="H330" s="3"/>
    </row>
    <row r="331" spans="1:8" ht="15" customHeight="1">
      <c r="A331" s="690" t="s">
        <v>2122</v>
      </c>
      <c r="B331" s="685" t="s">
        <v>1123</v>
      </c>
      <c r="C331" s="679" t="s">
        <v>152</v>
      </c>
      <c r="D331" s="679" t="s">
        <v>154</v>
      </c>
      <c r="E331" s="680" t="s">
        <v>303</v>
      </c>
      <c r="F331" s="680"/>
      <c r="G331" s="682" t="s">
        <v>2</v>
      </c>
      <c r="H331" s="3"/>
    </row>
    <row r="332" spans="1:8" ht="15" customHeight="1">
      <c r="A332" s="690" t="s">
        <v>2125</v>
      </c>
      <c r="B332" s="678" t="s">
        <v>1124</v>
      </c>
      <c r="C332" s="679" t="s">
        <v>152</v>
      </c>
      <c r="D332" s="679" t="s">
        <v>154</v>
      </c>
      <c r="E332" s="680" t="s">
        <v>303</v>
      </c>
      <c r="F332" s="680"/>
      <c r="G332" s="682" t="s">
        <v>1110</v>
      </c>
      <c r="H332" s="3"/>
    </row>
    <row r="333" spans="1:8" ht="15" customHeight="1">
      <c r="A333" s="690" t="s">
        <v>2128</v>
      </c>
      <c r="B333" s="685" t="s">
        <v>791</v>
      </c>
      <c r="C333" s="679"/>
      <c r="D333" s="679"/>
      <c r="E333" s="680" t="s">
        <v>303</v>
      </c>
      <c r="F333" s="680"/>
      <c r="G333" s="682" t="s">
        <v>816</v>
      </c>
      <c r="H333" s="3"/>
    </row>
    <row r="334" spans="1:8" ht="15" customHeight="1">
      <c r="A334" s="690" t="s">
        <v>2131</v>
      </c>
      <c r="B334" s="685" t="s">
        <v>792</v>
      </c>
      <c r="C334" s="679"/>
      <c r="D334" s="679"/>
      <c r="E334" s="680" t="s">
        <v>303</v>
      </c>
      <c r="F334" s="680"/>
      <c r="G334" s="682" t="e">
        <v>#N/A</v>
      </c>
      <c r="H334" s="3"/>
    </row>
    <row r="335" spans="1:8" ht="15" customHeight="1">
      <c r="A335" s="678" t="s">
        <v>2133</v>
      </c>
      <c r="B335" s="685" t="s">
        <v>793</v>
      </c>
      <c r="C335" s="679"/>
      <c r="D335" s="679"/>
      <c r="E335" s="680" t="s">
        <v>303</v>
      </c>
      <c r="F335" s="680"/>
      <c r="G335" s="682" t="s">
        <v>816</v>
      </c>
      <c r="H335" s="3"/>
    </row>
    <row r="336" spans="1:8" ht="15" customHeight="1">
      <c r="A336" s="690" t="s">
        <v>2136</v>
      </c>
      <c r="B336" s="678" t="s">
        <v>1014</v>
      </c>
      <c r="C336" s="679" t="s">
        <v>152</v>
      </c>
      <c r="D336" s="679" t="s">
        <v>3859</v>
      </c>
      <c r="E336" s="680" t="s">
        <v>303</v>
      </c>
      <c r="F336" s="680"/>
      <c r="G336" s="682" t="e">
        <v>#N/A</v>
      </c>
      <c r="H336" s="3"/>
    </row>
    <row r="337" spans="1:8" ht="15" customHeight="1">
      <c r="A337" s="678" t="s">
        <v>2139</v>
      </c>
      <c r="B337" s="685" t="s">
        <v>1125</v>
      </c>
      <c r="C337" s="679" t="s">
        <v>152</v>
      </c>
      <c r="D337" s="679" t="s">
        <v>154</v>
      </c>
      <c r="E337" s="680" t="s">
        <v>303</v>
      </c>
      <c r="F337" s="680"/>
      <c r="G337" s="682" t="e">
        <v>#N/A</v>
      </c>
      <c r="H337" s="3"/>
    </row>
    <row r="338" spans="1:8" ht="15" customHeight="1">
      <c r="A338" s="690" t="s">
        <v>2142</v>
      </c>
      <c r="B338" s="685" t="s">
        <v>1018</v>
      </c>
      <c r="C338" s="679" t="s">
        <v>152</v>
      </c>
      <c r="D338" s="679" t="s">
        <v>156</v>
      </c>
      <c r="E338" s="680" t="s">
        <v>303</v>
      </c>
      <c r="F338" s="680"/>
      <c r="G338" s="682" t="s">
        <v>1110</v>
      </c>
      <c r="H338" s="3"/>
    </row>
    <row r="339" spans="1:8" ht="15" customHeight="1">
      <c r="A339" s="690" t="s">
        <v>2145</v>
      </c>
      <c r="B339" s="678" t="s">
        <v>1126</v>
      </c>
      <c r="C339" s="679" t="s">
        <v>161</v>
      </c>
      <c r="D339" s="679" t="s">
        <v>164</v>
      </c>
      <c r="E339" s="680" t="s">
        <v>303</v>
      </c>
      <c r="F339" s="680"/>
      <c r="G339" s="682" t="s">
        <v>1110</v>
      </c>
      <c r="H339" s="3"/>
    </row>
    <row r="340" spans="1:8" ht="15" customHeight="1">
      <c r="A340" s="690" t="s">
        <v>2148</v>
      </c>
      <c r="B340" s="685" t="s">
        <v>1127</v>
      </c>
      <c r="C340" s="679" t="s">
        <v>161</v>
      </c>
      <c r="D340" s="679" t="s">
        <v>168</v>
      </c>
      <c r="E340" s="680" t="s">
        <v>303</v>
      </c>
      <c r="F340" s="680"/>
      <c r="G340" s="682" t="s">
        <v>2</v>
      </c>
      <c r="H340" s="3"/>
    </row>
    <row r="341" spans="1:8" ht="15" customHeight="1">
      <c r="A341" s="690" t="s">
        <v>2151</v>
      </c>
      <c r="B341" s="685" t="s">
        <v>1128</v>
      </c>
      <c r="C341" s="679" t="s">
        <v>161</v>
      </c>
      <c r="D341" s="679" t="s">
        <v>166</v>
      </c>
      <c r="E341" s="680" t="s">
        <v>303</v>
      </c>
      <c r="F341" s="680"/>
      <c r="G341" s="682" t="e">
        <v>#N/A</v>
      </c>
      <c r="H341" s="3"/>
    </row>
    <row r="342" spans="1:8" ht="15" customHeight="1">
      <c r="A342" s="690" t="s">
        <v>2154</v>
      </c>
      <c r="B342" s="685" t="s">
        <v>1129</v>
      </c>
      <c r="C342" s="679" t="s">
        <v>161</v>
      </c>
      <c r="D342" s="679" t="s">
        <v>167</v>
      </c>
      <c r="E342" s="680" t="s">
        <v>303</v>
      </c>
      <c r="F342" s="680"/>
      <c r="G342" s="682" t="s">
        <v>1110</v>
      </c>
      <c r="H342" s="3"/>
    </row>
    <row r="343" spans="1:8" ht="15" customHeight="1">
      <c r="A343" s="690" t="s">
        <v>2157</v>
      </c>
      <c r="B343" s="685" t="s">
        <v>794</v>
      </c>
      <c r="C343" s="679"/>
      <c r="D343" s="679"/>
      <c r="E343" s="680" t="s">
        <v>303</v>
      </c>
      <c r="F343" s="680"/>
      <c r="G343" s="682" t="e">
        <v>#N/A</v>
      </c>
      <c r="H343" s="3"/>
    </row>
    <row r="344" spans="1:8" ht="15" customHeight="1">
      <c r="A344" s="690" t="s">
        <v>2160</v>
      </c>
      <c r="B344" s="685" t="s">
        <v>1130</v>
      </c>
      <c r="C344" s="679" t="s">
        <v>161</v>
      </c>
      <c r="D344" s="679" t="s">
        <v>169</v>
      </c>
      <c r="E344" s="680" t="s">
        <v>303</v>
      </c>
      <c r="F344" s="680"/>
      <c r="G344" s="682" t="s">
        <v>1110</v>
      </c>
      <c r="H344" s="3"/>
    </row>
    <row r="345" spans="1:8" ht="15" customHeight="1">
      <c r="A345" s="690" t="s">
        <v>2163</v>
      </c>
      <c r="B345" s="678" t="s">
        <v>795</v>
      </c>
      <c r="C345" s="679"/>
      <c r="D345" s="679"/>
      <c r="E345" s="680" t="s">
        <v>303</v>
      </c>
      <c r="F345" s="680"/>
      <c r="G345" s="682" t="s">
        <v>816</v>
      </c>
      <c r="H345" s="3"/>
    </row>
    <row r="346" spans="1:8" ht="15" customHeight="1">
      <c r="A346" s="690" t="s">
        <v>2166</v>
      </c>
      <c r="B346" s="695" t="s">
        <v>1033</v>
      </c>
      <c r="C346" s="693" t="s">
        <v>180</v>
      </c>
      <c r="D346" s="679" t="s">
        <v>192</v>
      </c>
      <c r="E346" s="680" t="s">
        <v>303</v>
      </c>
      <c r="F346" s="680"/>
      <c r="G346" s="682" t="e">
        <v>#N/A</v>
      </c>
      <c r="H346" s="3"/>
    </row>
    <row r="347" spans="1:8" ht="15" customHeight="1">
      <c r="A347" s="690" t="s">
        <v>2169</v>
      </c>
      <c r="B347" s="695" t="s">
        <v>1036</v>
      </c>
      <c r="C347" s="693" t="s">
        <v>161</v>
      </c>
      <c r="D347" s="679" t="s">
        <v>172</v>
      </c>
      <c r="E347" s="680" t="s">
        <v>303</v>
      </c>
      <c r="F347" s="680"/>
      <c r="G347" s="682" t="s">
        <v>1110</v>
      </c>
      <c r="H347" s="3"/>
    </row>
    <row r="348" spans="1:8" ht="15" customHeight="1">
      <c r="A348" s="690" t="s">
        <v>2172</v>
      </c>
      <c r="B348" s="692" t="s">
        <v>1132</v>
      </c>
      <c r="C348" s="693" t="s">
        <v>161</v>
      </c>
      <c r="D348" s="679" t="s">
        <v>172</v>
      </c>
      <c r="E348" s="680" t="s">
        <v>303</v>
      </c>
      <c r="F348" s="686"/>
      <c r="G348" s="682" t="s">
        <v>1110</v>
      </c>
      <c r="H348" s="3"/>
    </row>
    <row r="349" spans="1:8" ht="15" customHeight="1">
      <c r="A349" s="690" t="s">
        <v>2175</v>
      </c>
      <c r="B349" s="695" t="s">
        <v>1133</v>
      </c>
      <c r="C349" s="693" t="s">
        <v>161</v>
      </c>
      <c r="D349" s="679" t="s">
        <v>172</v>
      </c>
      <c r="E349" s="680" t="s">
        <v>303</v>
      </c>
      <c r="F349" s="680"/>
      <c r="G349" s="682" t="s">
        <v>2</v>
      </c>
      <c r="H349" s="3"/>
    </row>
    <row r="350" spans="1:8" ht="15" customHeight="1">
      <c r="A350" s="690" t="s">
        <v>3552</v>
      </c>
      <c r="B350" s="692" t="s">
        <v>3551</v>
      </c>
      <c r="C350" s="679" t="s">
        <v>176</v>
      </c>
      <c r="D350" s="679" t="s">
        <v>177</v>
      </c>
      <c r="E350" s="680" t="s">
        <v>303</v>
      </c>
      <c r="F350" s="680"/>
      <c r="G350" s="682" t="e">
        <v>#N/A</v>
      </c>
      <c r="H350" s="3"/>
    </row>
    <row r="351" spans="1:8" ht="15" customHeight="1">
      <c r="A351" s="690" t="s">
        <v>3429</v>
      </c>
      <c r="B351" s="692" t="s">
        <v>3428</v>
      </c>
      <c r="C351" s="693" t="s">
        <v>161</v>
      </c>
      <c r="D351" s="679" t="s">
        <v>173</v>
      </c>
      <c r="E351" s="680" t="s">
        <v>303</v>
      </c>
      <c r="F351" s="686"/>
      <c r="G351" s="682" t="s">
        <v>1285</v>
      </c>
      <c r="H351" s="3"/>
    </row>
    <row r="352" spans="1:8" ht="15" customHeight="1">
      <c r="A352" s="690" t="s">
        <v>2178</v>
      </c>
      <c r="B352" s="685" t="s">
        <v>796</v>
      </c>
      <c r="C352" s="679"/>
      <c r="D352" s="679"/>
      <c r="E352" s="680" t="s">
        <v>303</v>
      </c>
      <c r="F352" s="680"/>
      <c r="G352" s="682" t="e">
        <v>#N/A</v>
      </c>
      <c r="H352" s="3"/>
    </row>
    <row r="353" spans="1:8" ht="15" customHeight="1">
      <c r="A353" s="690" t="s">
        <v>2181</v>
      </c>
      <c r="B353" s="678" t="s">
        <v>797</v>
      </c>
      <c r="C353" s="679"/>
      <c r="D353" s="679"/>
      <c r="E353" s="680" t="s">
        <v>303</v>
      </c>
      <c r="F353" s="680"/>
      <c r="G353" s="682" t="e">
        <v>#N/A</v>
      </c>
      <c r="H353" s="3"/>
    </row>
    <row r="354" spans="1:8" ht="15" customHeight="1">
      <c r="A354" s="690" t="s">
        <v>2184</v>
      </c>
      <c r="B354" s="685" t="s">
        <v>1134</v>
      </c>
      <c r="C354" s="679" t="s">
        <v>176</v>
      </c>
      <c r="D354" s="679" t="s">
        <v>177</v>
      </c>
      <c r="E354" s="680" t="s">
        <v>303</v>
      </c>
      <c r="F354" s="680"/>
      <c r="G354" s="682" t="s">
        <v>1110</v>
      </c>
      <c r="H354" s="3"/>
    </row>
    <row r="355" spans="1:8" ht="15" customHeight="1">
      <c r="A355" s="690" t="s">
        <v>2187</v>
      </c>
      <c r="B355" s="685" t="s">
        <v>1135</v>
      </c>
      <c r="C355" s="679" t="s">
        <v>176</v>
      </c>
      <c r="D355" s="679" t="s">
        <v>177</v>
      </c>
      <c r="E355" s="680" t="s">
        <v>303</v>
      </c>
      <c r="F355" s="680"/>
      <c r="G355" s="682" t="e">
        <v>#N/A</v>
      </c>
      <c r="H355" s="3"/>
    </row>
    <row r="356" spans="1:8" ht="15" customHeight="1">
      <c r="A356" s="690" t="s">
        <v>2190</v>
      </c>
      <c r="B356" s="685" t="s">
        <v>1136</v>
      </c>
      <c r="C356" s="679" t="s">
        <v>176</v>
      </c>
      <c r="D356" s="679" t="s">
        <v>177</v>
      </c>
      <c r="E356" s="680" t="s">
        <v>303</v>
      </c>
      <c r="F356" s="680"/>
      <c r="G356" s="682" t="s">
        <v>2</v>
      </c>
      <c r="H356" s="3"/>
    </row>
    <row r="357" spans="1:8" ht="15" customHeight="1">
      <c r="A357" s="687" t="s">
        <v>3355</v>
      </c>
      <c r="B357" s="687" t="s">
        <v>798</v>
      </c>
      <c r="C357" s="679"/>
      <c r="D357" s="679"/>
      <c r="E357" s="680" t="s">
        <v>303</v>
      </c>
      <c r="F357" s="681"/>
      <c r="G357" s="682" t="e">
        <v>#N/A</v>
      </c>
      <c r="H357" s="3"/>
    </row>
    <row r="358" spans="1:8" ht="15" customHeight="1">
      <c r="A358" s="690" t="s">
        <v>2193</v>
      </c>
      <c r="B358" s="685" t="s">
        <v>1137</v>
      </c>
      <c r="C358" s="679" t="s">
        <v>180</v>
      </c>
      <c r="D358" s="679" t="s">
        <v>182</v>
      </c>
      <c r="E358" s="680" t="s">
        <v>303</v>
      </c>
      <c r="F358" s="680"/>
      <c r="G358" s="682" t="s">
        <v>1110</v>
      </c>
      <c r="H358" s="3"/>
    </row>
    <row r="359" spans="1:8" ht="15" customHeight="1">
      <c r="A359" s="690" t="s">
        <v>2196</v>
      </c>
      <c r="B359" s="685" t="s">
        <v>1138</v>
      </c>
      <c r="C359" s="679" t="s">
        <v>161</v>
      </c>
      <c r="D359" s="679" t="s">
        <v>164</v>
      </c>
      <c r="E359" s="680" t="s">
        <v>303</v>
      </c>
      <c r="F359" s="680"/>
      <c r="G359" s="682" t="s">
        <v>1110</v>
      </c>
      <c r="H359" s="3"/>
    </row>
    <row r="360" spans="1:8" ht="15" customHeight="1">
      <c r="A360" s="690" t="s">
        <v>2199</v>
      </c>
      <c r="B360" s="678" t="s">
        <v>1139</v>
      </c>
      <c r="C360" s="679" t="s">
        <v>180</v>
      </c>
      <c r="D360" s="679" t="s">
        <v>184</v>
      </c>
      <c r="E360" s="680" t="s">
        <v>303</v>
      </c>
      <c r="F360" s="680"/>
      <c r="G360" s="682" t="s">
        <v>2</v>
      </c>
      <c r="H360" s="3"/>
    </row>
    <row r="361" spans="1:8" ht="15" customHeight="1">
      <c r="A361" s="690" t="s">
        <v>3418</v>
      </c>
      <c r="B361" s="678" t="s">
        <v>1138</v>
      </c>
      <c r="C361" s="679" t="s">
        <v>161</v>
      </c>
      <c r="D361" s="679" t="s">
        <v>167</v>
      </c>
      <c r="E361" s="680" t="s">
        <v>303</v>
      </c>
      <c r="F361" s="680"/>
      <c r="G361" s="682" t="s">
        <v>2</v>
      </c>
      <c r="H361" s="3"/>
    </row>
    <row r="362" spans="1:8" ht="15" customHeight="1">
      <c r="A362" s="690" t="s">
        <v>2202</v>
      </c>
      <c r="B362" s="685" t="s">
        <v>1140</v>
      </c>
      <c r="C362" s="679" t="s">
        <v>180</v>
      </c>
      <c r="D362" s="679" t="s">
        <v>185</v>
      </c>
      <c r="E362" s="680" t="s">
        <v>303</v>
      </c>
      <c r="F362" s="680"/>
      <c r="G362" s="682" t="s">
        <v>1110</v>
      </c>
      <c r="H362" s="3"/>
    </row>
    <row r="363" spans="1:8" ht="15" customHeight="1">
      <c r="A363" s="690" t="s">
        <v>2205</v>
      </c>
      <c r="B363" s="678" t="s">
        <v>1138</v>
      </c>
      <c r="C363" s="679" t="s">
        <v>161</v>
      </c>
      <c r="D363" s="679" t="s">
        <v>167</v>
      </c>
      <c r="E363" s="680" t="s">
        <v>303</v>
      </c>
      <c r="F363" s="680"/>
      <c r="G363" s="682" t="e">
        <v>#N/A</v>
      </c>
      <c r="H363" s="3"/>
    </row>
    <row r="364" spans="1:8" ht="15" customHeight="1">
      <c r="A364" s="690" t="s">
        <v>2208</v>
      </c>
      <c r="B364" s="685" t="s">
        <v>1141</v>
      </c>
      <c r="C364" s="679" t="s">
        <v>180</v>
      </c>
      <c r="D364" s="679" t="s">
        <v>182</v>
      </c>
      <c r="E364" s="680" t="s">
        <v>303</v>
      </c>
      <c r="F364" s="680"/>
      <c r="G364" s="682" t="s">
        <v>2</v>
      </c>
      <c r="H364" s="3"/>
    </row>
    <row r="365" spans="1:8" ht="15" customHeight="1">
      <c r="A365" s="690" t="s">
        <v>3387</v>
      </c>
      <c r="B365" s="685" t="s">
        <v>1143</v>
      </c>
      <c r="C365" s="679" t="s">
        <v>180</v>
      </c>
      <c r="D365" s="679" t="s">
        <v>185</v>
      </c>
      <c r="E365" s="680" t="s">
        <v>303</v>
      </c>
      <c r="F365" s="680"/>
      <c r="G365" s="682" t="s">
        <v>2</v>
      </c>
      <c r="H365" s="3"/>
    </row>
    <row r="366" spans="1:8" ht="15" customHeight="1">
      <c r="A366" s="690" t="s">
        <v>2211</v>
      </c>
      <c r="B366" s="678" t="s">
        <v>1141</v>
      </c>
      <c r="C366" s="679" t="s">
        <v>180</v>
      </c>
      <c r="D366" s="679" t="s">
        <v>182</v>
      </c>
      <c r="E366" s="680" t="s">
        <v>303</v>
      </c>
      <c r="F366" s="680"/>
      <c r="G366" s="680" t="s">
        <v>2</v>
      </c>
      <c r="H366" s="3"/>
    </row>
    <row r="367" spans="1:8" ht="15" customHeight="1">
      <c r="A367" s="690" t="s">
        <v>2214</v>
      </c>
      <c r="B367" s="685" t="s">
        <v>1144</v>
      </c>
      <c r="C367" s="679" t="s">
        <v>180</v>
      </c>
      <c r="D367" s="679" t="s">
        <v>183</v>
      </c>
      <c r="E367" s="680" t="s">
        <v>303</v>
      </c>
      <c r="F367" s="680"/>
      <c r="G367" s="682" t="s">
        <v>1110</v>
      </c>
      <c r="H367" s="3"/>
    </row>
    <row r="368" spans="1:8" ht="15" customHeight="1">
      <c r="A368" s="690" t="s">
        <v>2217</v>
      </c>
      <c r="B368" s="678" t="s">
        <v>1145</v>
      </c>
      <c r="C368" s="679" t="s">
        <v>180</v>
      </c>
      <c r="D368" s="679" t="s">
        <v>183</v>
      </c>
      <c r="E368" s="680" t="s">
        <v>303</v>
      </c>
      <c r="F368" s="680"/>
      <c r="G368" s="682" t="e">
        <v>#N/A</v>
      </c>
      <c r="H368" s="3"/>
    </row>
    <row r="369" spans="1:8" ht="15" customHeight="1">
      <c r="A369" s="690" t="s">
        <v>2220</v>
      </c>
      <c r="B369" s="685" t="s">
        <v>1146</v>
      </c>
      <c r="C369" s="679" t="s">
        <v>180</v>
      </c>
      <c r="D369" s="679" t="s">
        <v>183</v>
      </c>
      <c r="E369" s="680" t="s">
        <v>303</v>
      </c>
      <c r="F369" s="680"/>
      <c r="G369" s="682" t="s">
        <v>1110</v>
      </c>
      <c r="H369" s="3"/>
    </row>
    <row r="370" spans="1:8" ht="15" customHeight="1">
      <c r="A370" s="690" t="s">
        <v>2223</v>
      </c>
      <c r="B370" s="685" t="s">
        <v>1147</v>
      </c>
      <c r="C370" s="679" t="s">
        <v>180</v>
      </c>
      <c r="D370" s="679" t="s">
        <v>186</v>
      </c>
      <c r="E370" s="680" t="s">
        <v>303</v>
      </c>
      <c r="F370" s="680"/>
      <c r="G370" s="682" t="s">
        <v>1110</v>
      </c>
      <c r="H370" s="3"/>
    </row>
    <row r="371" spans="1:8" ht="15" customHeight="1">
      <c r="A371" s="690" t="s">
        <v>2226</v>
      </c>
      <c r="B371" s="685" t="s">
        <v>1148</v>
      </c>
      <c r="C371" s="679" t="s">
        <v>180</v>
      </c>
      <c r="D371" s="679" t="s">
        <v>187</v>
      </c>
      <c r="E371" s="680" t="s">
        <v>303</v>
      </c>
      <c r="F371" s="680"/>
      <c r="G371" s="682" t="s">
        <v>1110</v>
      </c>
      <c r="H371" s="3"/>
    </row>
    <row r="372" spans="1:8" ht="15" customHeight="1">
      <c r="A372" s="690" t="s">
        <v>3684</v>
      </c>
      <c r="B372" s="685" t="s">
        <v>3683</v>
      </c>
      <c r="C372" s="679" t="s">
        <v>180</v>
      </c>
      <c r="D372" s="679" t="s">
        <v>187</v>
      </c>
      <c r="E372" s="680" t="s">
        <v>303</v>
      </c>
      <c r="F372" s="680"/>
      <c r="G372" s="682" t="s">
        <v>1110</v>
      </c>
      <c r="H372" s="3"/>
    </row>
    <row r="373" spans="1:8" ht="15" customHeight="1">
      <c r="A373" s="690" t="s">
        <v>2229</v>
      </c>
      <c r="B373" s="685" t="s">
        <v>1149</v>
      </c>
      <c r="C373" s="679" t="s">
        <v>180</v>
      </c>
      <c r="D373" s="679" t="s">
        <v>191</v>
      </c>
      <c r="E373" s="680" t="s">
        <v>303</v>
      </c>
      <c r="F373" s="680"/>
      <c r="G373" s="682" t="s">
        <v>1110</v>
      </c>
      <c r="H373" s="3"/>
    </row>
    <row r="374" spans="1:8" ht="15" customHeight="1">
      <c r="A374" s="690" t="s">
        <v>2232</v>
      </c>
      <c r="B374" s="685" t="s">
        <v>1150</v>
      </c>
      <c r="C374" s="679" t="s">
        <v>180</v>
      </c>
      <c r="D374" s="679" t="s">
        <v>191</v>
      </c>
      <c r="E374" s="680" t="s">
        <v>303</v>
      </c>
      <c r="F374" s="680"/>
      <c r="G374" s="682" t="s">
        <v>1110</v>
      </c>
      <c r="H374" s="3"/>
    </row>
    <row r="375" spans="1:8" ht="15" customHeight="1">
      <c r="A375" s="690" t="s">
        <v>3920</v>
      </c>
      <c r="B375" s="685" t="s">
        <v>3919</v>
      </c>
      <c r="C375" s="679" t="s">
        <v>180</v>
      </c>
      <c r="D375" s="679" t="s">
        <v>191</v>
      </c>
      <c r="E375" s="680" t="s">
        <v>303</v>
      </c>
      <c r="F375" s="680"/>
      <c r="G375" s="682" t="s">
        <v>1110</v>
      </c>
      <c r="H375" s="3"/>
    </row>
    <row r="376" spans="1:8" ht="15" customHeight="1">
      <c r="A376" s="690" t="s">
        <v>1152</v>
      </c>
      <c r="B376" s="678" t="s">
        <v>1387</v>
      </c>
      <c r="C376" s="679" t="s">
        <v>180</v>
      </c>
      <c r="D376" s="679" t="s">
        <v>189</v>
      </c>
      <c r="E376" s="680" t="s">
        <v>303</v>
      </c>
      <c r="F376" s="680"/>
      <c r="G376" s="680" t="s">
        <v>2</v>
      </c>
      <c r="H376" s="3"/>
    </row>
    <row r="377" spans="1:8" ht="15" customHeight="1">
      <c r="A377" s="690" t="s">
        <v>2237</v>
      </c>
      <c r="B377" s="685" t="s">
        <v>1151</v>
      </c>
      <c r="C377" s="679" t="s">
        <v>180</v>
      </c>
      <c r="D377" s="679" t="s">
        <v>188</v>
      </c>
      <c r="E377" s="680" t="s">
        <v>303</v>
      </c>
      <c r="F377" s="680"/>
      <c r="G377" s="682" t="s">
        <v>1110</v>
      </c>
      <c r="H377" s="3"/>
    </row>
    <row r="378" spans="1:8" ht="15" customHeight="1">
      <c r="A378" s="678" t="s">
        <v>2240</v>
      </c>
      <c r="B378" s="678" t="s">
        <v>725</v>
      </c>
      <c r="C378" s="679"/>
      <c r="D378" s="679"/>
      <c r="E378" s="686"/>
      <c r="F378" s="680"/>
      <c r="G378" s="682" t="s">
        <v>816</v>
      </c>
      <c r="H378" s="3"/>
    </row>
    <row r="379" spans="1:8" ht="15" customHeight="1">
      <c r="A379" s="690" t="s">
        <v>1155</v>
      </c>
      <c r="B379" s="685" t="s">
        <v>1153</v>
      </c>
      <c r="C379" s="679" t="s">
        <v>92</v>
      </c>
      <c r="D379" s="679" t="s">
        <v>111</v>
      </c>
      <c r="E379" s="680" t="s">
        <v>303</v>
      </c>
      <c r="F379" s="680"/>
      <c r="G379" s="682" t="s">
        <v>2</v>
      </c>
      <c r="H379" s="3"/>
    </row>
    <row r="380" spans="1:8" ht="15" customHeight="1">
      <c r="A380" s="690" t="s">
        <v>1157</v>
      </c>
      <c r="B380" s="685" t="s">
        <v>1156</v>
      </c>
      <c r="C380" s="679" t="s">
        <v>92</v>
      </c>
      <c r="D380" s="679" t="s">
        <v>112</v>
      </c>
      <c r="E380" s="680" t="s">
        <v>303</v>
      </c>
      <c r="F380" s="680"/>
      <c r="G380" s="682" t="s">
        <v>1110</v>
      </c>
      <c r="H380" s="3"/>
    </row>
    <row r="381" spans="1:8" ht="15" customHeight="1">
      <c r="A381" s="690" t="s">
        <v>1159</v>
      </c>
      <c r="B381" s="685" t="s">
        <v>1158</v>
      </c>
      <c r="C381" s="679" t="s">
        <v>92</v>
      </c>
      <c r="D381" s="679" t="s">
        <v>114</v>
      </c>
      <c r="E381" s="680" t="s">
        <v>303</v>
      </c>
      <c r="F381" s="680"/>
      <c r="G381" s="682" t="s">
        <v>1110</v>
      </c>
      <c r="H381" s="3"/>
    </row>
    <row r="382" spans="1:8" ht="15" customHeight="1">
      <c r="A382" s="690" t="s">
        <v>1161</v>
      </c>
      <c r="B382" s="685" t="s">
        <v>1160</v>
      </c>
      <c r="C382" s="679" t="s">
        <v>92</v>
      </c>
      <c r="D382" s="679" t="s">
        <v>115</v>
      </c>
      <c r="E382" s="680" t="s">
        <v>303</v>
      </c>
      <c r="F382" s="680"/>
      <c r="G382" s="682" t="s">
        <v>1110</v>
      </c>
      <c r="H382" s="3"/>
    </row>
    <row r="383" spans="1:8" ht="15" customHeight="1">
      <c r="A383" s="678" t="s">
        <v>1163</v>
      </c>
      <c r="B383" s="678" t="s">
        <v>1162</v>
      </c>
      <c r="C383" s="679" t="s">
        <v>92</v>
      </c>
      <c r="D383" s="679" t="s">
        <v>117</v>
      </c>
      <c r="E383" s="680" t="s">
        <v>303</v>
      </c>
      <c r="F383" s="680"/>
      <c r="G383" s="682" t="s">
        <v>1110</v>
      </c>
      <c r="H383" s="3"/>
    </row>
    <row r="384" spans="1:8" ht="15" customHeight="1">
      <c r="A384" s="690" t="s">
        <v>1165</v>
      </c>
      <c r="B384" s="685" t="s">
        <v>1164</v>
      </c>
      <c r="C384" s="679" t="s">
        <v>92</v>
      </c>
      <c r="D384" s="679" t="s">
        <v>113</v>
      </c>
      <c r="E384" s="680" t="s">
        <v>303</v>
      </c>
      <c r="F384" s="680"/>
      <c r="G384" s="682" t="s">
        <v>1110</v>
      </c>
      <c r="H384" s="3"/>
    </row>
    <row r="385" spans="1:8" ht="15" customHeight="1">
      <c r="A385" s="678" t="s">
        <v>1167</v>
      </c>
      <c r="B385" s="678" t="s">
        <v>1166</v>
      </c>
      <c r="C385" s="679" t="s">
        <v>92</v>
      </c>
      <c r="D385" s="679" t="s">
        <v>116</v>
      </c>
      <c r="E385" s="680" t="s">
        <v>303</v>
      </c>
      <c r="F385" s="680"/>
      <c r="G385" s="682" t="s">
        <v>2</v>
      </c>
      <c r="H385" s="3"/>
    </row>
    <row r="386" spans="1:8" ht="15" customHeight="1">
      <c r="A386" s="690" t="s">
        <v>2257</v>
      </c>
      <c r="B386" s="685" t="s">
        <v>1168</v>
      </c>
      <c r="C386" s="679" t="s">
        <v>92</v>
      </c>
      <c r="D386" s="679" t="s">
        <v>116</v>
      </c>
      <c r="E386" s="680" t="s">
        <v>303</v>
      </c>
      <c r="F386" s="680"/>
      <c r="G386" s="682" t="s">
        <v>2</v>
      </c>
      <c r="H386" s="3"/>
    </row>
    <row r="387" spans="1:8" ht="15" customHeight="1">
      <c r="A387" s="690" t="s">
        <v>1170</v>
      </c>
      <c r="B387" s="685" t="s">
        <v>1169</v>
      </c>
      <c r="C387" s="679" t="s">
        <v>92</v>
      </c>
      <c r="D387" s="679" t="s">
        <v>204</v>
      </c>
      <c r="E387" s="680" t="s">
        <v>303</v>
      </c>
      <c r="F387" s="680"/>
      <c r="G387" s="682" t="s">
        <v>1110</v>
      </c>
      <c r="H387" s="3"/>
    </row>
    <row r="388" spans="1:8" ht="15" customHeight="1">
      <c r="A388" s="678" t="s">
        <v>1172</v>
      </c>
      <c r="B388" s="678" t="s">
        <v>1171</v>
      </c>
      <c r="C388" s="679" t="s">
        <v>92</v>
      </c>
      <c r="D388" s="679" t="s">
        <v>120</v>
      </c>
      <c r="E388" s="680" t="s">
        <v>303</v>
      </c>
      <c r="F388" s="680"/>
      <c r="G388" s="682" t="s">
        <v>1110</v>
      </c>
      <c r="H388" s="3"/>
    </row>
    <row r="389" spans="1:8" ht="15" customHeight="1">
      <c r="A389" s="690" t="s">
        <v>1174</v>
      </c>
      <c r="B389" s="685" t="s">
        <v>1173</v>
      </c>
      <c r="C389" s="679" t="s">
        <v>92</v>
      </c>
      <c r="D389" s="679" t="s">
        <v>121</v>
      </c>
      <c r="E389" s="680" t="s">
        <v>303</v>
      </c>
      <c r="F389" s="680"/>
      <c r="G389" s="682" t="s">
        <v>1110</v>
      </c>
      <c r="H389" s="3"/>
    </row>
    <row r="390" spans="1:8" ht="15" customHeight="1">
      <c r="A390" s="678" t="s">
        <v>1176</v>
      </c>
      <c r="B390" s="678" t="s">
        <v>1175</v>
      </c>
      <c r="C390" s="679" t="s">
        <v>92</v>
      </c>
      <c r="D390" s="679" t="s">
        <v>122</v>
      </c>
      <c r="E390" s="680" t="s">
        <v>303</v>
      </c>
      <c r="F390" s="680"/>
      <c r="G390" s="682" t="s">
        <v>2</v>
      </c>
      <c r="H390" s="3"/>
    </row>
    <row r="391" spans="1:8" ht="15" customHeight="1">
      <c r="A391" s="690" t="s">
        <v>1178</v>
      </c>
      <c r="B391" s="685" t="s">
        <v>1177</v>
      </c>
      <c r="C391" s="679" t="s">
        <v>92</v>
      </c>
      <c r="D391" s="679" t="s">
        <v>124</v>
      </c>
      <c r="E391" s="680" t="s">
        <v>303</v>
      </c>
      <c r="F391" s="680"/>
      <c r="G391" s="682" t="s">
        <v>1110</v>
      </c>
      <c r="H391" s="3"/>
    </row>
    <row r="392" spans="1:8" ht="15" customHeight="1">
      <c r="A392" s="690" t="s">
        <v>1180</v>
      </c>
      <c r="B392" s="685" t="s">
        <v>1179</v>
      </c>
      <c r="C392" s="679" t="s">
        <v>92</v>
      </c>
      <c r="D392" s="679" t="s">
        <v>127</v>
      </c>
      <c r="E392" s="680" t="s">
        <v>303</v>
      </c>
      <c r="F392" s="680"/>
      <c r="G392" s="682" t="s">
        <v>1110</v>
      </c>
      <c r="H392" s="3"/>
    </row>
    <row r="393" spans="1:8" ht="15" customHeight="1">
      <c r="A393" s="690" t="s">
        <v>1182</v>
      </c>
      <c r="B393" s="685" t="s">
        <v>1181</v>
      </c>
      <c r="C393" s="679" t="s">
        <v>92</v>
      </c>
      <c r="D393" s="679" t="s">
        <v>125</v>
      </c>
      <c r="E393" s="680" t="s">
        <v>303</v>
      </c>
      <c r="F393" s="680"/>
      <c r="G393" s="682" t="s">
        <v>1110</v>
      </c>
      <c r="H393" s="4"/>
    </row>
    <row r="394" spans="1:8" ht="15" customHeight="1">
      <c r="A394" s="690" t="s">
        <v>1184</v>
      </c>
      <c r="B394" s="685" t="s">
        <v>1388</v>
      </c>
      <c r="C394" s="679" t="s">
        <v>92</v>
      </c>
      <c r="D394" s="679" t="s">
        <v>126</v>
      </c>
      <c r="E394" s="680" t="s">
        <v>303</v>
      </c>
      <c r="F394" s="680"/>
      <c r="G394" s="682" t="s">
        <v>1110</v>
      </c>
      <c r="H394" s="4"/>
    </row>
    <row r="395" spans="1:8" ht="15" customHeight="1">
      <c r="A395" s="678" t="s">
        <v>1186</v>
      </c>
      <c r="B395" s="678" t="s">
        <v>1185</v>
      </c>
      <c r="C395" s="679" t="s">
        <v>92</v>
      </c>
      <c r="D395" s="679" t="s">
        <v>126</v>
      </c>
      <c r="E395" s="680" t="s">
        <v>303</v>
      </c>
      <c r="F395" s="680"/>
      <c r="G395" s="682" t="s">
        <v>1110</v>
      </c>
      <c r="H395" s="3"/>
    </row>
    <row r="396" spans="1:8" ht="15" customHeight="1">
      <c r="A396" s="690" t="s">
        <v>2276</v>
      </c>
      <c r="B396" s="688" t="s">
        <v>799</v>
      </c>
      <c r="C396" s="679"/>
      <c r="D396" s="679"/>
      <c r="E396" s="680" t="s">
        <v>303</v>
      </c>
      <c r="F396" s="680"/>
      <c r="G396" s="682" t="s">
        <v>816</v>
      </c>
      <c r="H396" s="3"/>
    </row>
    <row r="397" spans="1:8" ht="15" customHeight="1">
      <c r="A397" s="678" t="s">
        <v>1188</v>
      </c>
      <c r="B397" s="678" t="s">
        <v>1187</v>
      </c>
      <c r="C397" s="679" t="s">
        <v>92</v>
      </c>
      <c r="D397" s="679" t="s">
        <v>135</v>
      </c>
      <c r="E397" s="680" t="s">
        <v>303</v>
      </c>
      <c r="F397" s="680"/>
      <c r="G397" s="682" t="s">
        <v>1110</v>
      </c>
      <c r="H397" s="3"/>
    </row>
    <row r="398" spans="1:8" ht="15" customHeight="1">
      <c r="A398" s="678" t="s">
        <v>1190</v>
      </c>
      <c r="B398" s="685" t="s">
        <v>1189</v>
      </c>
      <c r="C398" s="679" t="s">
        <v>92</v>
      </c>
      <c r="D398" s="679" t="s">
        <v>136</v>
      </c>
      <c r="E398" s="680" t="s">
        <v>303</v>
      </c>
      <c r="F398" s="680"/>
      <c r="G398" s="682" t="e">
        <v>#N/A</v>
      </c>
      <c r="H398" s="3"/>
    </row>
    <row r="399" spans="1:8" ht="15" customHeight="1">
      <c r="A399" s="678" t="s">
        <v>1192</v>
      </c>
      <c r="B399" s="685" t="s">
        <v>1191</v>
      </c>
      <c r="C399" s="679" t="s">
        <v>92</v>
      </c>
      <c r="D399" s="679" t="s">
        <v>141</v>
      </c>
      <c r="E399" s="680" t="s">
        <v>303</v>
      </c>
      <c r="F399" s="680"/>
      <c r="G399" s="682" t="e">
        <v>#N/A</v>
      </c>
      <c r="H399" s="3"/>
    </row>
    <row r="400" spans="1:8" ht="15" customHeight="1">
      <c r="A400" s="690" t="s">
        <v>1194</v>
      </c>
      <c r="B400" s="685" t="s">
        <v>1193</v>
      </c>
      <c r="C400" s="679" t="s">
        <v>92</v>
      </c>
      <c r="D400" s="679" t="s">
        <v>131</v>
      </c>
      <c r="E400" s="680" t="s">
        <v>303</v>
      </c>
      <c r="F400" s="680"/>
      <c r="G400" s="682" t="s">
        <v>1110</v>
      </c>
      <c r="H400" s="3"/>
    </row>
    <row r="401" spans="1:8" ht="15" customHeight="1">
      <c r="A401" s="678" t="s">
        <v>1196</v>
      </c>
      <c r="B401" s="678" t="s">
        <v>1195</v>
      </c>
      <c r="C401" s="679" t="s">
        <v>92</v>
      </c>
      <c r="D401" s="679" t="s">
        <v>139</v>
      </c>
      <c r="E401" s="680" t="s">
        <v>303</v>
      </c>
      <c r="F401" s="680"/>
      <c r="G401" s="682" t="s">
        <v>1110</v>
      </c>
      <c r="H401" s="3"/>
    </row>
    <row r="402" spans="1:8" ht="15" customHeight="1">
      <c r="A402" s="690" t="s">
        <v>1208</v>
      </c>
      <c r="B402" s="688" t="s">
        <v>800</v>
      </c>
      <c r="C402" s="679"/>
      <c r="D402" s="679"/>
      <c r="E402" s="680" t="s">
        <v>303</v>
      </c>
      <c r="F402" s="680"/>
      <c r="G402" s="682" t="s">
        <v>816</v>
      </c>
      <c r="H402" s="3"/>
    </row>
    <row r="403" spans="1:8" ht="15" customHeight="1">
      <c r="A403" s="678" t="s">
        <v>1198</v>
      </c>
      <c r="B403" s="678" t="s">
        <v>1197</v>
      </c>
      <c r="C403" s="679" t="s">
        <v>92</v>
      </c>
      <c r="D403" s="679" t="s">
        <v>132</v>
      </c>
      <c r="E403" s="680" t="s">
        <v>303</v>
      </c>
      <c r="F403" s="680"/>
      <c r="G403" s="682" t="s">
        <v>1110</v>
      </c>
      <c r="H403" s="3"/>
    </row>
    <row r="404" spans="1:8" ht="15" customHeight="1">
      <c r="A404" s="690" t="s">
        <v>1200</v>
      </c>
      <c r="B404" s="678" t="s">
        <v>1199</v>
      </c>
      <c r="C404" s="679" t="s">
        <v>92</v>
      </c>
      <c r="D404" s="679" t="s">
        <v>137</v>
      </c>
      <c r="E404" s="680" t="s">
        <v>303</v>
      </c>
      <c r="F404" s="680"/>
      <c r="G404" s="682" t="s">
        <v>1110</v>
      </c>
      <c r="H404" s="3"/>
    </row>
    <row r="405" spans="1:8" ht="15" customHeight="1">
      <c r="A405" s="678" t="s">
        <v>1202</v>
      </c>
      <c r="B405" s="678" t="s">
        <v>1201</v>
      </c>
      <c r="C405" s="679" t="s">
        <v>92</v>
      </c>
      <c r="D405" s="679" t="s">
        <v>138</v>
      </c>
      <c r="E405" s="680" t="s">
        <v>303</v>
      </c>
      <c r="F405" s="680"/>
      <c r="G405" s="682" t="s">
        <v>1110</v>
      </c>
      <c r="H405" s="3"/>
    </row>
    <row r="406" spans="1:8" ht="15" customHeight="1">
      <c r="A406" s="690" t="s">
        <v>1204</v>
      </c>
      <c r="B406" s="678" t="s">
        <v>1203</v>
      </c>
      <c r="C406" s="679" t="s">
        <v>92</v>
      </c>
      <c r="D406" s="679" t="s">
        <v>140</v>
      </c>
      <c r="E406" s="680" t="s">
        <v>303</v>
      </c>
      <c r="F406" s="680"/>
      <c r="G406" s="682" t="s">
        <v>1110</v>
      </c>
      <c r="H406" s="3"/>
    </row>
    <row r="407" spans="1:8" ht="15" customHeight="1">
      <c r="A407" s="678" t="s">
        <v>1206</v>
      </c>
      <c r="B407" s="678" t="s">
        <v>1205</v>
      </c>
      <c r="C407" s="679" t="s">
        <v>92</v>
      </c>
      <c r="D407" s="679" t="s">
        <v>133</v>
      </c>
      <c r="E407" s="680" t="s">
        <v>303</v>
      </c>
      <c r="F407" s="680"/>
      <c r="G407" s="682" t="s">
        <v>1110</v>
      </c>
      <c r="H407" s="3"/>
    </row>
    <row r="408" spans="1:8" ht="15" customHeight="1">
      <c r="A408" s="678" t="s">
        <v>3388</v>
      </c>
      <c r="B408" s="678" t="s">
        <v>1207</v>
      </c>
      <c r="C408" s="679" t="s">
        <v>92</v>
      </c>
      <c r="D408" s="679" t="s">
        <v>142</v>
      </c>
      <c r="E408" s="680" t="s">
        <v>303</v>
      </c>
      <c r="F408" s="680"/>
      <c r="G408" s="682" t="e">
        <v>#N/A</v>
      </c>
      <c r="H408" s="3"/>
    </row>
    <row r="409" spans="1:8" ht="15" customHeight="1">
      <c r="A409" s="690" t="s">
        <v>1210</v>
      </c>
      <c r="B409" s="685" t="s">
        <v>1209</v>
      </c>
      <c r="C409" s="679" t="s">
        <v>92</v>
      </c>
      <c r="D409" s="679" t="s">
        <v>134</v>
      </c>
      <c r="E409" s="680" t="s">
        <v>303</v>
      </c>
      <c r="F409" s="680"/>
      <c r="G409" s="682" t="s">
        <v>1110</v>
      </c>
      <c r="H409" s="3"/>
    </row>
    <row r="410" spans="1:8" ht="15" customHeight="1">
      <c r="A410" s="690" t="s">
        <v>1212</v>
      </c>
      <c r="B410" s="685" t="s">
        <v>1211</v>
      </c>
      <c r="C410" s="679" t="s">
        <v>92</v>
      </c>
      <c r="D410" s="679" t="s">
        <v>221</v>
      </c>
      <c r="E410" s="680" t="s">
        <v>303</v>
      </c>
      <c r="F410" s="680"/>
      <c r="G410" s="682" t="e">
        <v>#N/A</v>
      </c>
      <c r="H410" s="3"/>
    </row>
    <row r="411" spans="1:8" ht="15" customHeight="1">
      <c r="A411" s="690" t="s">
        <v>2304</v>
      </c>
      <c r="B411" s="685" t="s">
        <v>1389</v>
      </c>
      <c r="C411" s="679" t="s">
        <v>92</v>
      </c>
      <c r="D411" s="679" t="s">
        <v>213</v>
      </c>
      <c r="E411" s="680" t="s">
        <v>303</v>
      </c>
      <c r="F411" s="680"/>
      <c r="G411" s="680" t="s">
        <v>1154</v>
      </c>
      <c r="H411" s="3"/>
    </row>
    <row r="412" spans="1:8" ht="15" customHeight="1">
      <c r="A412" s="690" t="s">
        <v>1214</v>
      </c>
      <c r="B412" s="685" t="s">
        <v>1213</v>
      </c>
      <c r="C412" s="679" t="s">
        <v>92</v>
      </c>
      <c r="D412" s="679" t="s">
        <v>210</v>
      </c>
      <c r="E412" s="680" t="s">
        <v>303</v>
      </c>
      <c r="F412" s="680"/>
      <c r="G412" s="682" t="s">
        <v>1154</v>
      </c>
      <c r="H412" s="3"/>
    </row>
    <row r="413" spans="1:8" ht="15" customHeight="1">
      <c r="A413" s="678" t="s">
        <v>1216</v>
      </c>
      <c r="B413" s="678" t="s">
        <v>1215</v>
      </c>
      <c r="C413" s="679" t="s">
        <v>92</v>
      </c>
      <c r="D413" s="679" t="s">
        <v>205</v>
      </c>
      <c r="E413" s="680" t="s">
        <v>303</v>
      </c>
      <c r="F413" s="680"/>
      <c r="G413" s="682" t="s">
        <v>1154</v>
      </c>
      <c r="H413" s="3"/>
    </row>
    <row r="414" spans="1:8" ht="15" customHeight="1">
      <c r="A414" s="690" t="s">
        <v>1218</v>
      </c>
      <c r="B414" s="685" t="s">
        <v>1217</v>
      </c>
      <c r="C414" s="679" t="s">
        <v>92</v>
      </c>
      <c r="D414" s="679" t="s">
        <v>209</v>
      </c>
      <c r="E414" s="680" t="s">
        <v>303</v>
      </c>
      <c r="F414" s="680"/>
      <c r="G414" s="682" t="s">
        <v>1154</v>
      </c>
      <c r="H414" s="3"/>
    </row>
    <row r="415" spans="1:8" ht="15" customHeight="1">
      <c r="A415" s="678" t="s">
        <v>1220</v>
      </c>
      <c r="B415" s="678" t="s">
        <v>1219</v>
      </c>
      <c r="C415" s="679" t="s">
        <v>92</v>
      </c>
      <c r="D415" s="679" t="s">
        <v>206</v>
      </c>
      <c r="E415" s="680" t="s">
        <v>303</v>
      </c>
      <c r="F415" s="680"/>
      <c r="G415" s="682" t="s">
        <v>1154</v>
      </c>
      <c r="H415" s="3"/>
    </row>
    <row r="416" spans="1:8" ht="15" customHeight="1">
      <c r="A416" s="690" t="s">
        <v>1222</v>
      </c>
      <c r="B416" s="678" t="s">
        <v>1221</v>
      </c>
      <c r="C416" s="679" t="s">
        <v>92</v>
      </c>
      <c r="D416" s="679" t="s">
        <v>207</v>
      </c>
      <c r="E416" s="680" t="s">
        <v>303</v>
      </c>
      <c r="F416" s="680"/>
      <c r="G416" s="682" t="s">
        <v>1154</v>
      </c>
      <c r="H416" s="3"/>
    </row>
    <row r="417" spans="1:12" ht="15" customHeight="1">
      <c r="A417" s="678" t="s">
        <v>1224</v>
      </c>
      <c r="B417" s="678" t="s">
        <v>1223</v>
      </c>
      <c r="C417" s="679" t="s">
        <v>92</v>
      </c>
      <c r="D417" s="679" t="s">
        <v>211</v>
      </c>
      <c r="E417" s="680" t="s">
        <v>303</v>
      </c>
      <c r="F417" s="680"/>
      <c r="G417" s="682" t="s">
        <v>1154</v>
      </c>
      <c r="H417" s="3"/>
    </row>
    <row r="418" spans="1:12" ht="15" customHeight="1">
      <c r="A418" s="678" t="s">
        <v>3389</v>
      </c>
      <c r="B418" s="678" t="s">
        <v>1390</v>
      </c>
      <c r="C418" s="679" t="s">
        <v>92</v>
      </c>
      <c r="D418" s="679" t="s">
        <v>214</v>
      </c>
      <c r="E418" s="680" t="s">
        <v>303</v>
      </c>
      <c r="F418" s="680"/>
      <c r="G418" s="680" t="s">
        <v>1154</v>
      </c>
      <c r="H418" s="3"/>
    </row>
    <row r="419" spans="1:12" ht="15" customHeight="1">
      <c r="A419" s="690" t="s">
        <v>2319</v>
      </c>
      <c r="B419" s="688" t="s">
        <v>1225</v>
      </c>
      <c r="C419" s="679" t="s">
        <v>152</v>
      </c>
      <c r="D419" s="679" t="s">
        <v>111</v>
      </c>
      <c r="E419" s="680" t="s">
        <v>303</v>
      </c>
      <c r="F419" s="680"/>
      <c r="G419" s="682" t="s">
        <v>1154</v>
      </c>
      <c r="H419" s="3"/>
    </row>
    <row r="420" spans="1:12" ht="15" customHeight="1">
      <c r="A420" s="690" t="s">
        <v>2322</v>
      </c>
      <c r="B420" s="688" t="s">
        <v>1156</v>
      </c>
      <c r="C420" s="679" t="s">
        <v>152</v>
      </c>
      <c r="D420" s="679" t="s">
        <v>112</v>
      </c>
      <c r="E420" s="680" t="s">
        <v>303</v>
      </c>
      <c r="F420" s="680"/>
      <c r="G420" s="682" t="s">
        <v>1154</v>
      </c>
      <c r="H420" s="3"/>
    </row>
    <row r="421" spans="1:12" ht="15" customHeight="1">
      <c r="A421" s="678" t="s">
        <v>2325</v>
      </c>
      <c r="B421" s="678" t="s">
        <v>1226</v>
      </c>
      <c r="C421" s="679" t="s">
        <v>152</v>
      </c>
      <c r="D421" s="679" t="s">
        <v>114</v>
      </c>
      <c r="E421" s="680" t="s">
        <v>303</v>
      </c>
      <c r="F421" s="680"/>
      <c r="G421" s="682" t="s">
        <v>1154</v>
      </c>
      <c r="H421" s="3"/>
    </row>
    <row r="422" spans="1:12" ht="15" customHeight="1">
      <c r="A422" s="690" t="s">
        <v>2328</v>
      </c>
      <c r="B422" s="688" t="s">
        <v>1160</v>
      </c>
      <c r="C422" s="679" t="s">
        <v>152</v>
      </c>
      <c r="D422" s="679" t="s">
        <v>115</v>
      </c>
      <c r="E422" s="680" t="s">
        <v>303</v>
      </c>
      <c r="F422" s="680"/>
      <c r="G422" s="682" t="s">
        <v>1154</v>
      </c>
      <c r="H422" s="3"/>
    </row>
    <row r="423" spans="1:12" ht="15" customHeight="1">
      <c r="A423" s="678" t="s">
        <v>2331</v>
      </c>
      <c r="B423" s="678" t="s">
        <v>1162</v>
      </c>
      <c r="C423" s="679" t="s">
        <v>152</v>
      </c>
      <c r="D423" s="679" t="s">
        <v>117</v>
      </c>
      <c r="E423" s="680" t="s">
        <v>303</v>
      </c>
      <c r="F423" s="680"/>
      <c r="G423" s="682" t="s">
        <v>1154</v>
      </c>
      <c r="H423" s="3"/>
    </row>
    <row r="424" spans="1:12" ht="15" customHeight="1">
      <c r="A424" s="690" t="s">
        <v>2334</v>
      </c>
      <c r="B424" s="688" t="s">
        <v>1164</v>
      </c>
      <c r="C424" s="679" t="s">
        <v>152</v>
      </c>
      <c r="D424" s="679" t="s">
        <v>113</v>
      </c>
      <c r="E424" s="680" t="s">
        <v>303</v>
      </c>
      <c r="F424" s="680"/>
      <c r="G424" s="682" t="s">
        <v>1154</v>
      </c>
      <c r="H424" s="3"/>
      <c r="L424" s="3"/>
    </row>
    <row r="425" spans="1:12" ht="15" customHeight="1">
      <c r="A425" s="678" t="s">
        <v>2337</v>
      </c>
      <c r="B425" s="678" t="s">
        <v>801</v>
      </c>
      <c r="C425" s="679"/>
      <c r="D425" s="679"/>
      <c r="E425" s="680" t="s">
        <v>303</v>
      </c>
      <c r="F425" s="680"/>
      <c r="G425" s="682" t="s">
        <v>816</v>
      </c>
      <c r="H425" s="3"/>
      <c r="L425" s="3"/>
    </row>
    <row r="426" spans="1:12" ht="15" customHeight="1">
      <c r="A426" s="690" t="s">
        <v>2340</v>
      </c>
      <c r="B426" s="688" t="s">
        <v>1166</v>
      </c>
      <c r="C426" s="679" t="s">
        <v>152</v>
      </c>
      <c r="D426" s="679" t="s">
        <v>116</v>
      </c>
      <c r="E426" s="680" t="s">
        <v>303</v>
      </c>
      <c r="F426" s="680"/>
      <c r="G426" s="682" t="s">
        <v>1154</v>
      </c>
      <c r="H426" s="3"/>
    </row>
    <row r="427" spans="1:12" ht="15" customHeight="1">
      <c r="A427" s="678" t="s">
        <v>2343</v>
      </c>
      <c r="B427" s="678" t="s">
        <v>1227</v>
      </c>
      <c r="C427" s="679" t="s">
        <v>152</v>
      </c>
      <c r="D427" s="679" t="s">
        <v>116</v>
      </c>
      <c r="E427" s="680" t="s">
        <v>303</v>
      </c>
      <c r="F427" s="680"/>
      <c r="G427" s="682" t="s">
        <v>1154</v>
      </c>
      <c r="H427" s="3"/>
    </row>
    <row r="428" spans="1:12" ht="15" customHeight="1">
      <c r="A428" s="690" t="s">
        <v>2346</v>
      </c>
      <c r="B428" s="688" t="s">
        <v>802</v>
      </c>
      <c r="C428" s="679"/>
      <c r="D428" s="679"/>
      <c r="E428" s="680" t="s">
        <v>303</v>
      </c>
      <c r="F428" s="680"/>
      <c r="G428" s="682" t="s">
        <v>816</v>
      </c>
      <c r="H428" s="3"/>
    </row>
    <row r="429" spans="1:12" ht="15" customHeight="1">
      <c r="A429" s="678" t="s">
        <v>2349</v>
      </c>
      <c r="B429" s="688" t="s">
        <v>1169</v>
      </c>
      <c r="C429" s="679" t="s">
        <v>152</v>
      </c>
      <c r="D429" s="679" t="s">
        <v>204</v>
      </c>
      <c r="E429" s="680" t="s">
        <v>303</v>
      </c>
      <c r="F429" s="680"/>
      <c r="G429" s="682" t="s">
        <v>1154</v>
      </c>
      <c r="H429" s="3"/>
    </row>
    <row r="430" spans="1:12" ht="15" customHeight="1">
      <c r="A430" s="690" t="s">
        <v>2352</v>
      </c>
      <c r="B430" s="688" t="s">
        <v>1171</v>
      </c>
      <c r="C430" s="679" t="s">
        <v>152</v>
      </c>
      <c r="D430" s="679" t="s">
        <v>120</v>
      </c>
      <c r="E430" s="680" t="s">
        <v>303</v>
      </c>
      <c r="F430" s="680"/>
      <c r="G430" s="682" t="s">
        <v>2</v>
      </c>
      <c r="H430" s="3"/>
    </row>
    <row r="431" spans="1:12" ht="15" customHeight="1">
      <c r="A431" s="690" t="s">
        <v>2355</v>
      </c>
      <c r="B431" s="688" t="s">
        <v>1173</v>
      </c>
      <c r="C431" s="679" t="s">
        <v>152</v>
      </c>
      <c r="D431" s="679" t="s">
        <v>121</v>
      </c>
      <c r="E431" s="680" t="s">
        <v>303</v>
      </c>
      <c r="F431" s="680"/>
      <c r="G431" s="682" t="s">
        <v>1154</v>
      </c>
      <c r="H431" s="3"/>
    </row>
    <row r="432" spans="1:12" ht="15" customHeight="1">
      <c r="A432" s="690" t="s">
        <v>2358</v>
      </c>
      <c r="B432" s="688" t="s">
        <v>1228</v>
      </c>
      <c r="C432" s="679" t="s">
        <v>152</v>
      </c>
      <c r="D432" s="679" t="s">
        <v>122</v>
      </c>
      <c r="E432" s="680" t="s">
        <v>303</v>
      </c>
      <c r="F432" s="680"/>
      <c r="G432" s="682" t="e">
        <v>#N/A</v>
      </c>
      <c r="H432" s="3"/>
    </row>
    <row r="433" spans="1:8" ht="15" customHeight="1">
      <c r="A433" s="690" t="s">
        <v>2359</v>
      </c>
      <c r="B433" s="688" t="s">
        <v>1229</v>
      </c>
      <c r="C433" s="679" t="s">
        <v>152</v>
      </c>
      <c r="D433" s="679" t="s">
        <v>124</v>
      </c>
      <c r="E433" s="680" t="s">
        <v>303</v>
      </c>
      <c r="F433" s="680"/>
      <c r="G433" s="682" t="s">
        <v>1154</v>
      </c>
      <c r="H433" s="3"/>
    </row>
    <row r="434" spans="1:8" ht="15" customHeight="1">
      <c r="A434" s="690" t="s">
        <v>2362</v>
      </c>
      <c r="B434" s="688" t="s">
        <v>1179</v>
      </c>
      <c r="C434" s="679" t="s">
        <v>152</v>
      </c>
      <c r="D434" s="679" t="s">
        <v>127</v>
      </c>
      <c r="E434" s="680" t="s">
        <v>303</v>
      </c>
      <c r="F434" s="680"/>
      <c r="G434" s="682" t="s">
        <v>1154</v>
      </c>
      <c r="H434" s="3"/>
    </row>
    <row r="435" spans="1:8" ht="15" customHeight="1">
      <c r="A435" s="690" t="s">
        <v>2365</v>
      </c>
      <c r="B435" s="688" t="s">
        <v>1181</v>
      </c>
      <c r="C435" s="679" t="s">
        <v>152</v>
      </c>
      <c r="D435" s="679" t="s">
        <v>125</v>
      </c>
      <c r="E435" s="680" t="s">
        <v>303</v>
      </c>
      <c r="F435" s="680"/>
      <c r="G435" s="682" t="s">
        <v>1154</v>
      </c>
      <c r="H435" s="3"/>
    </row>
    <row r="436" spans="1:8" ht="15" customHeight="1">
      <c r="A436" s="690" t="s">
        <v>3390</v>
      </c>
      <c r="B436" s="688" t="s">
        <v>1391</v>
      </c>
      <c r="C436" s="679" t="s">
        <v>152</v>
      </c>
      <c r="D436" s="679" t="s">
        <v>126</v>
      </c>
      <c r="E436" s="680" t="s">
        <v>303</v>
      </c>
      <c r="F436" s="680"/>
      <c r="G436" s="682" t="s">
        <v>2</v>
      </c>
      <c r="H436" s="3"/>
    </row>
    <row r="437" spans="1:8" ht="15" customHeight="1">
      <c r="A437" s="690" t="s">
        <v>2368</v>
      </c>
      <c r="B437" s="688" t="s">
        <v>1231</v>
      </c>
      <c r="C437" s="679" t="s">
        <v>152</v>
      </c>
      <c r="D437" s="679" t="s">
        <v>126</v>
      </c>
      <c r="E437" s="680" t="s">
        <v>303</v>
      </c>
      <c r="F437" s="680"/>
      <c r="G437" s="682" t="s">
        <v>1154</v>
      </c>
      <c r="H437" s="3"/>
    </row>
    <row r="438" spans="1:8" ht="15" customHeight="1">
      <c r="A438" s="690" t="s">
        <v>2371</v>
      </c>
      <c r="B438" s="688" t="s">
        <v>803</v>
      </c>
      <c r="C438" s="679"/>
      <c r="D438" s="679"/>
      <c r="E438" s="680" t="s">
        <v>303</v>
      </c>
      <c r="F438" s="680"/>
      <c r="G438" s="682" t="s">
        <v>816</v>
      </c>
      <c r="H438" s="3"/>
    </row>
    <row r="439" spans="1:8" ht="15" customHeight="1">
      <c r="A439" s="690" t="s">
        <v>2374</v>
      </c>
      <c r="B439" s="688" t="s">
        <v>1187</v>
      </c>
      <c r="C439" s="679" t="s">
        <v>152</v>
      </c>
      <c r="D439" s="679" t="s">
        <v>135</v>
      </c>
      <c r="E439" s="680" t="s">
        <v>303</v>
      </c>
      <c r="F439" s="680"/>
      <c r="G439" s="682" t="s">
        <v>1154</v>
      </c>
      <c r="H439" s="3"/>
    </row>
    <row r="440" spans="1:8" ht="15" customHeight="1">
      <c r="A440" s="690" t="s">
        <v>2376</v>
      </c>
      <c r="B440" s="688" t="s">
        <v>1189</v>
      </c>
      <c r="C440" s="679" t="s">
        <v>152</v>
      </c>
      <c r="D440" s="679" t="s">
        <v>136</v>
      </c>
      <c r="E440" s="680" t="s">
        <v>303</v>
      </c>
      <c r="F440" s="680"/>
      <c r="G440" s="680" t="s">
        <v>1154</v>
      </c>
      <c r="H440" s="3"/>
    </row>
    <row r="441" spans="1:8" ht="15" customHeight="1">
      <c r="A441" s="678" t="s">
        <v>2379</v>
      </c>
      <c r="B441" s="678" t="s">
        <v>1191</v>
      </c>
      <c r="C441" s="679" t="s">
        <v>152</v>
      </c>
      <c r="D441" s="679" t="s">
        <v>141</v>
      </c>
      <c r="E441" s="680" t="s">
        <v>303</v>
      </c>
      <c r="F441" s="680"/>
      <c r="G441" s="682" t="s">
        <v>1154</v>
      </c>
      <c r="H441" s="3"/>
    </row>
    <row r="442" spans="1:8" ht="15" customHeight="1">
      <c r="A442" s="690" t="s">
        <v>2382</v>
      </c>
      <c r="B442" s="688" t="s">
        <v>1193</v>
      </c>
      <c r="C442" s="679" t="s">
        <v>152</v>
      </c>
      <c r="D442" s="679" t="s">
        <v>131</v>
      </c>
      <c r="E442" s="680" t="s">
        <v>303</v>
      </c>
      <c r="F442" s="680"/>
      <c r="G442" s="682" t="s">
        <v>1154</v>
      </c>
      <c r="H442" s="3"/>
    </row>
    <row r="443" spans="1:8" ht="15" customHeight="1">
      <c r="A443" s="678" t="s">
        <v>2385</v>
      </c>
      <c r="B443" s="678" t="s">
        <v>1195</v>
      </c>
      <c r="C443" s="679" t="s">
        <v>152</v>
      </c>
      <c r="D443" s="679" t="s">
        <v>139</v>
      </c>
      <c r="E443" s="680" t="s">
        <v>303</v>
      </c>
      <c r="F443" s="686"/>
      <c r="G443" s="682" t="s">
        <v>1154</v>
      </c>
      <c r="H443" s="3"/>
    </row>
    <row r="444" spans="1:8" ht="15" customHeight="1">
      <c r="A444" s="690" t="s">
        <v>2388</v>
      </c>
      <c r="B444" s="688" t="s">
        <v>1197</v>
      </c>
      <c r="C444" s="679" t="s">
        <v>152</v>
      </c>
      <c r="D444" s="679" t="s">
        <v>132</v>
      </c>
      <c r="E444" s="680" t="s">
        <v>303</v>
      </c>
      <c r="F444" s="680"/>
      <c r="G444" s="682" t="s">
        <v>1154</v>
      </c>
      <c r="H444" s="3"/>
    </row>
    <row r="445" spans="1:8" ht="15" customHeight="1">
      <c r="A445" s="678" t="s">
        <v>2391</v>
      </c>
      <c r="B445" s="678" t="s">
        <v>1199</v>
      </c>
      <c r="C445" s="679" t="s">
        <v>152</v>
      </c>
      <c r="D445" s="679" t="s">
        <v>137</v>
      </c>
      <c r="E445" s="680" t="s">
        <v>303</v>
      </c>
      <c r="F445" s="680"/>
      <c r="G445" s="682" t="s">
        <v>1154</v>
      </c>
      <c r="H445" s="3"/>
    </row>
    <row r="446" spans="1:8" ht="15" customHeight="1">
      <c r="A446" s="690" t="s">
        <v>2394</v>
      </c>
      <c r="B446" s="688" t="s">
        <v>1201</v>
      </c>
      <c r="C446" s="679" t="s">
        <v>152</v>
      </c>
      <c r="D446" s="679" t="s">
        <v>138</v>
      </c>
      <c r="E446" s="680" t="s">
        <v>303</v>
      </c>
      <c r="F446" s="680"/>
      <c r="G446" s="682" t="e">
        <v>#N/A</v>
      </c>
      <c r="H446" s="3"/>
    </row>
    <row r="447" spans="1:8" ht="15" customHeight="1">
      <c r="A447" s="690" t="s">
        <v>2397</v>
      </c>
      <c r="B447" s="678" t="s">
        <v>1203</v>
      </c>
      <c r="C447" s="679" t="s">
        <v>152</v>
      </c>
      <c r="D447" s="679" t="s">
        <v>140</v>
      </c>
      <c r="E447" s="680" t="s">
        <v>303</v>
      </c>
      <c r="F447" s="680"/>
      <c r="G447" s="682" t="s">
        <v>1154</v>
      </c>
      <c r="H447" s="3"/>
    </row>
    <row r="448" spans="1:8" ht="15" customHeight="1">
      <c r="A448" s="690" t="s">
        <v>2400</v>
      </c>
      <c r="B448" s="688" t="s">
        <v>1232</v>
      </c>
      <c r="C448" s="679" t="s">
        <v>152</v>
      </c>
      <c r="D448" s="679" t="s">
        <v>133</v>
      </c>
      <c r="E448" s="680" t="s">
        <v>303</v>
      </c>
      <c r="F448" s="680"/>
      <c r="G448" s="682" t="s">
        <v>1154</v>
      </c>
      <c r="H448" s="3"/>
    </row>
    <row r="449" spans="1:8" ht="15" customHeight="1">
      <c r="A449" s="690" t="s">
        <v>3391</v>
      </c>
      <c r="B449" s="688" t="s">
        <v>1233</v>
      </c>
      <c r="C449" s="679" t="s">
        <v>152</v>
      </c>
      <c r="D449" s="679" t="s">
        <v>142</v>
      </c>
      <c r="E449" s="680" t="s">
        <v>303</v>
      </c>
      <c r="F449" s="680"/>
      <c r="G449" s="682" t="s">
        <v>1154</v>
      </c>
      <c r="H449" s="3"/>
    </row>
    <row r="450" spans="1:8" ht="15" customHeight="1">
      <c r="A450" s="690" t="s">
        <v>2403</v>
      </c>
      <c r="B450" s="678" t="s">
        <v>1209</v>
      </c>
      <c r="C450" s="679" t="s">
        <v>152</v>
      </c>
      <c r="D450" s="679" t="s">
        <v>134</v>
      </c>
      <c r="E450" s="680" t="s">
        <v>303</v>
      </c>
      <c r="F450" s="686"/>
      <c r="G450" s="682" t="s">
        <v>1154</v>
      </c>
      <c r="H450" s="3"/>
    </row>
    <row r="451" spans="1:8" ht="15" customHeight="1">
      <c r="A451" s="690" t="s">
        <v>2406</v>
      </c>
      <c r="B451" s="688" t="s">
        <v>1211</v>
      </c>
      <c r="C451" s="679" t="s">
        <v>152</v>
      </c>
      <c r="D451" s="679" t="s">
        <v>221</v>
      </c>
      <c r="E451" s="680" t="s">
        <v>303</v>
      </c>
      <c r="F451" s="680"/>
      <c r="G451" s="682" t="s">
        <v>1154</v>
      </c>
      <c r="H451" s="3"/>
    </row>
    <row r="452" spans="1:8" ht="15" customHeight="1">
      <c r="A452" s="690" t="s">
        <v>2409</v>
      </c>
      <c r="B452" s="688" t="s">
        <v>1389</v>
      </c>
      <c r="C452" s="679" t="s">
        <v>152</v>
      </c>
      <c r="D452" s="679" t="s">
        <v>213</v>
      </c>
      <c r="E452" s="680" t="s">
        <v>303</v>
      </c>
      <c r="F452" s="680"/>
      <c r="G452" s="680" t="s">
        <v>1154</v>
      </c>
      <c r="H452" s="3"/>
    </row>
    <row r="453" spans="1:8" ht="15" customHeight="1">
      <c r="A453" s="690" t="s">
        <v>2412</v>
      </c>
      <c r="B453" s="678" t="s">
        <v>1235</v>
      </c>
      <c r="C453" s="679" t="s">
        <v>152</v>
      </c>
      <c r="D453" s="679" t="s">
        <v>210</v>
      </c>
      <c r="E453" s="680" t="s">
        <v>303</v>
      </c>
      <c r="F453" s="680"/>
      <c r="G453" s="682" t="e">
        <v>#N/A</v>
      </c>
      <c r="H453" s="3"/>
    </row>
    <row r="454" spans="1:8" ht="15" customHeight="1">
      <c r="A454" s="690" t="s">
        <v>2415</v>
      </c>
      <c r="B454" s="688" t="s">
        <v>1236</v>
      </c>
      <c r="C454" s="679" t="s">
        <v>152</v>
      </c>
      <c r="D454" s="679" t="s">
        <v>205</v>
      </c>
      <c r="E454" s="680" t="s">
        <v>303</v>
      </c>
      <c r="F454" s="680"/>
      <c r="G454" s="682" t="s">
        <v>1154</v>
      </c>
      <c r="H454" s="3"/>
    </row>
    <row r="455" spans="1:8" ht="15" customHeight="1">
      <c r="A455" s="690" t="s">
        <v>2418</v>
      </c>
      <c r="B455" s="688" t="s">
        <v>1237</v>
      </c>
      <c r="C455" s="679" t="s">
        <v>152</v>
      </c>
      <c r="D455" s="679" t="s">
        <v>209</v>
      </c>
      <c r="E455" s="680" t="s">
        <v>303</v>
      </c>
      <c r="F455" s="680"/>
      <c r="G455" s="682" t="s">
        <v>1154</v>
      </c>
      <c r="H455" s="3"/>
    </row>
    <row r="456" spans="1:8" ht="15" customHeight="1">
      <c r="A456" s="690" t="s">
        <v>2421</v>
      </c>
      <c r="B456" s="678" t="s">
        <v>1238</v>
      </c>
      <c r="C456" s="679" t="s">
        <v>152</v>
      </c>
      <c r="D456" s="679" t="s">
        <v>206</v>
      </c>
      <c r="E456" s="680" t="s">
        <v>303</v>
      </c>
      <c r="F456" s="680"/>
      <c r="G456" s="682" t="s">
        <v>1154</v>
      </c>
      <c r="H456" s="3"/>
    </row>
    <row r="457" spans="1:8" ht="15" customHeight="1">
      <c r="A457" s="690" t="s">
        <v>2424</v>
      </c>
      <c r="B457" s="688" t="s">
        <v>1239</v>
      </c>
      <c r="C457" s="679" t="s">
        <v>152</v>
      </c>
      <c r="D457" s="679" t="s">
        <v>207</v>
      </c>
      <c r="E457" s="680" t="s">
        <v>303</v>
      </c>
      <c r="F457" s="680"/>
      <c r="G457" s="682" t="s">
        <v>1154</v>
      </c>
      <c r="H457" s="3"/>
    </row>
    <row r="458" spans="1:8" ht="15" customHeight="1">
      <c r="A458" s="690" t="s">
        <v>2427</v>
      </c>
      <c r="B458" s="678" t="s">
        <v>1240</v>
      </c>
      <c r="C458" s="679" t="s">
        <v>152</v>
      </c>
      <c r="D458" s="679" t="s">
        <v>211</v>
      </c>
      <c r="E458" s="680" t="s">
        <v>303</v>
      </c>
      <c r="F458" s="680"/>
      <c r="G458" s="682" t="s">
        <v>1154</v>
      </c>
      <c r="H458" s="3"/>
    </row>
    <row r="459" spans="1:8" ht="15" customHeight="1">
      <c r="A459" s="678" t="s">
        <v>3392</v>
      </c>
      <c r="B459" s="678" t="s">
        <v>1392</v>
      </c>
      <c r="C459" s="679" t="s">
        <v>152</v>
      </c>
      <c r="D459" s="679" t="s">
        <v>214</v>
      </c>
      <c r="E459" s="680" t="s">
        <v>303</v>
      </c>
      <c r="F459" s="680"/>
      <c r="G459" s="680" t="s">
        <v>1154</v>
      </c>
      <c r="H459" s="3"/>
    </row>
    <row r="460" spans="1:8" ht="15" customHeight="1">
      <c r="A460" s="678" t="s">
        <v>3393</v>
      </c>
      <c r="B460" s="678" t="s">
        <v>3315</v>
      </c>
      <c r="C460" s="679" t="s">
        <v>152</v>
      </c>
      <c r="D460" s="679" t="s">
        <v>140</v>
      </c>
      <c r="E460" s="680" t="s">
        <v>303</v>
      </c>
      <c r="F460" s="680"/>
      <c r="G460" s="682" t="s">
        <v>2</v>
      </c>
      <c r="H460" s="3"/>
    </row>
    <row r="461" spans="1:8" ht="15" customHeight="1">
      <c r="A461" s="690" t="s">
        <v>2430</v>
      </c>
      <c r="B461" s="688" t="s">
        <v>1241</v>
      </c>
      <c r="C461" s="679" t="s">
        <v>161</v>
      </c>
      <c r="D461" s="679" t="s">
        <v>130</v>
      </c>
      <c r="E461" s="680" t="s">
        <v>303</v>
      </c>
      <c r="F461" s="680"/>
      <c r="G461" s="682" t="s">
        <v>1154</v>
      </c>
      <c r="H461" s="3"/>
    </row>
    <row r="462" spans="1:8" ht="15" customHeight="1">
      <c r="A462" s="678" t="s">
        <v>2433</v>
      </c>
      <c r="B462" s="678" t="s">
        <v>1243</v>
      </c>
      <c r="C462" s="679" t="s">
        <v>161</v>
      </c>
      <c r="D462" s="679" t="s">
        <v>130</v>
      </c>
      <c r="E462" s="680" t="s">
        <v>303</v>
      </c>
      <c r="F462" s="680"/>
      <c r="G462" s="682" t="s">
        <v>1154</v>
      </c>
      <c r="H462" s="3"/>
    </row>
    <row r="463" spans="1:8" ht="15" customHeight="1">
      <c r="A463" s="690" t="s">
        <v>2436</v>
      </c>
      <c r="B463" s="688" t="s">
        <v>1166</v>
      </c>
      <c r="C463" s="679" t="s">
        <v>161</v>
      </c>
      <c r="D463" s="679" t="s">
        <v>129</v>
      </c>
      <c r="E463" s="680" t="s">
        <v>303</v>
      </c>
      <c r="F463" s="680"/>
      <c r="G463" s="682" t="s">
        <v>2</v>
      </c>
      <c r="H463" s="3"/>
    </row>
    <row r="464" spans="1:8" ht="15" customHeight="1">
      <c r="A464" s="678" t="s">
        <v>2439</v>
      </c>
      <c r="B464" s="678" t="s">
        <v>1169</v>
      </c>
      <c r="C464" s="679" t="s">
        <v>161</v>
      </c>
      <c r="D464" s="679" t="s">
        <v>204</v>
      </c>
      <c r="E464" s="680" t="s">
        <v>303</v>
      </c>
      <c r="F464" s="680"/>
      <c r="G464" s="682" t="s">
        <v>1154</v>
      </c>
      <c r="H464" s="3"/>
    </row>
    <row r="465" spans="1:8" ht="15" customHeight="1">
      <c r="A465" s="690" t="s">
        <v>2442</v>
      </c>
      <c r="B465" s="688" t="s">
        <v>1171</v>
      </c>
      <c r="C465" s="679" t="s">
        <v>161</v>
      </c>
      <c r="D465" s="679" t="s">
        <v>120</v>
      </c>
      <c r="E465" s="680" t="s">
        <v>303</v>
      </c>
      <c r="F465" s="680"/>
      <c r="G465" s="682" t="s">
        <v>1154</v>
      </c>
      <c r="H465" s="3"/>
    </row>
    <row r="466" spans="1:8" ht="15" customHeight="1">
      <c r="A466" s="678" t="s">
        <v>2445</v>
      </c>
      <c r="B466" s="678" t="s">
        <v>1244</v>
      </c>
      <c r="C466" s="679" t="s">
        <v>161</v>
      </c>
      <c r="D466" s="679" t="s">
        <v>121</v>
      </c>
      <c r="E466" s="680" t="s">
        <v>303</v>
      </c>
      <c r="F466" s="680"/>
      <c r="G466" s="682" t="s">
        <v>1154</v>
      </c>
      <c r="H466" s="3"/>
    </row>
    <row r="467" spans="1:8" ht="15" customHeight="1">
      <c r="A467" s="690" t="s">
        <v>2448</v>
      </c>
      <c r="B467" s="688" t="s">
        <v>1175</v>
      </c>
      <c r="C467" s="679" t="s">
        <v>161</v>
      </c>
      <c r="D467" s="679" t="s">
        <v>122</v>
      </c>
      <c r="E467" s="680" t="s">
        <v>303</v>
      </c>
      <c r="F467" s="680"/>
      <c r="G467" s="682" t="s">
        <v>1154</v>
      </c>
      <c r="H467" s="3"/>
    </row>
    <row r="468" spans="1:8" ht="15" customHeight="1">
      <c r="A468" s="678" t="s">
        <v>2451</v>
      </c>
      <c r="B468" s="678" t="s">
        <v>1245</v>
      </c>
      <c r="C468" s="679" t="s">
        <v>161</v>
      </c>
      <c r="D468" s="679" t="s">
        <v>123</v>
      </c>
      <c r="E468" s="680" t="s">
        <v>303</v>
      </c>
      <c r="F468" s="680"/>
      <c r="G468" s="682" t="s">
        <v>1154</v>
      </c>
      <c r="H468" s="3"/>
    </row>
    <row r="469" spans="1:8" ht="15" customHeight="1">
      <c r="A469" s="690" t="s">
        <v>2454</v>
      </c>
      <c r="B469" s="688" t="s">
        <v>1247</v>
      </c>
      <c r="C469" s="679" t="s">
        <v>161</v>
      </c>
      <c r="D469" s="679" t="s">
        <v>124</v>
      </c>
      <c r="E469" s="680" t="s">
        <v>303</v>
      </c>
      <c r="F469" s="680"/>
      <c r="G469" s="682" t="s">
        <v>1154</v>
      </c>
      <c r="H469" s="3"/>
    </row>
    <row r="470" spans="1:8" ht="15" customHeight="1">
      <c r="A470" s="678" t="s">
        <v>2457</v>
      </c>
      <c r="B470" s="678" t="s">
        <v>1179</v>
      </c>
      <c r="C470" s="679" t="s">
        <v>161</v>
      </c>
      <c r="D470" s="679" t="s">
        <v>127</v>
      </c>
      <c r="E470" s="680" t="s">
        <v>303</v>
      </c>
      <c r="F470" s="680"/>
      <c r="G470" s="682" t="s">
        <v>1154</v>
      </c>
      <c r="H470" s="3"/>
    </row>
    <row r="471" spans="1:8" ht="15" customHeight="1">
      <c r="A471" s="690" t="s">
        <v>2460</v>
      </c>
      <c r="B471" s="688" t="s">
        <v>1181</v>
      </c>
      <c r="C471" s="679" t="s">
        <v>161</v>
      </c>
      <c r="D471" s="679" t="s">
        <v>125</v>
      </c>
      <c r="E471" s="680" t="s">
        <v>303</v>
      </c>
      <c r="F471" s="680"/>
      <c r="G471" s="682" t="s">
        <v>1154</v>
      </c>
      <c r="H471" s="3"/>
    </row>
    <row r="472" spans="1:8" ht="15" customHeight="1">
      <c r="A472" s="678" t="s">
        <v>2463</v>
      </c>
      <c r="B472" s="678" t="s">
        <v>1248</v>
      </c>
      <c r="C472" s="679" t="s">
        <v>161</v>
      </c>
      <c r="D472" s="679" t="s">
        <v>126</v>
      </c>
      <c r="E472" s="680" t="s">
        <v>303</v>
      </c>
      <c r="F472" s="680"/>
      <c r="G472" s="682" t="s">
        <v>1154</v>
      </c>
      <c r="H472" s="3"/>
    </row>
    <row r="473" spans="1:8" ht="15" customHeight="1">
      <c r="A473" s="690" t="s">
        <v>2466</v>
      </c>
      <c r="B473" s="688" t="s">
        <v>1231</v>
      </c>
      <c r="C473" s="679" t="s">
        <v>161</v>
      </c>
      <c r="D473" s="679" t="s">
        <v>126</v>
      </c>
      <c r="E473" s="680" t="s">
        <v>303</v>
      </c>
      <c r="F473" s="680"/>
      <c r="G473" s="682" t="s">
        <v>2</v>
      </c>
      <c r="H473" s="3"/>
    </row>
    <row r="474" spans="1:8" ht="15" customHeight="1">
      <c r="A474" s="678" t="s">
        <v>2469</v>
      </c>
      <c r="B474" s="678" t="s">
        <v>804</v>
      </c>
      <c r="C474" s="679"/>
      <c r="D474" s="679"/>
      <c r="E474" s="680" t="s">
        <v>303</v>
      </c>
      <c r="F474" s="680"/>
      <c r="G474" s="682" t="s">
        <v>816</v>
      </c>
      <c r="H474" s="3"/>
    </row>
    <row r="475" spans="1:8" ht="15" customHeight="1">
      <c r="A475" s="690" t="s">
        <v>2472</v>
      </c>
      <c r="B475" s="688" t="s">
        <v>1249</v>
      </c>
      <c r="C475" s="679" t="s">
        <v>161</v>
      </c>
      <c r="D475" s="679" t="s">
        <v>130</v>
      </c>
      <c r="E475" s="680" t="s">
        <v>303</v>
      </c>
      <c r="F475" s="680"/>
      <c r="G475" s="682" t="s">
        <v>1154</v>
      </c>
      <c r="H475" s="3"/>
    </row>
    <row r="476" spans="1:8" ht="15" customHeight="1">
      <c r="A476" s="690" t="s">
        <v>2475</v>
      </c>
      <c r="B476" s="688" t="s">
        <v>1187</v>
      </c>
      <c r="C476" s="679" t="s">
        <v>161</v>
      </c>
      <c r="D476" s="679" t="s">
        <v>135</v>
      </c>
      <c r="E476" s="680" t="s">
        <v>303</v>
      </c>
      <c r="F476" s="680"/>
      <c r="G476" s="682" t="e">
        <v>#N/A</v>
      </c>
      <c r="H476" s="3"/>
    </row>
    <row r="477" spans="1:8" ht="15" customHeight="1">
      <c r="A477" s="678" t="s">
        <v>2478</v>
      </c>
      <c r="B477" s="678" t="s">
        <v>1189</v>
      </c>
      <c r="C477" s="679" t="s">
        <v>161</v>
      </c>
      <c r="D477" s="679" t="s">
        <v>136</v>
      </c>
      <c r="E477" s="680" t="s">
        <v>303</v>
      </c>
      <c r="F477" s="680"/>
      <c r="G477" s="682" t="s">
        <v>1154</v>
      </c>
      <c r="H477" s="3"/>
    </row>
    <row r="478" spans="1:8" ht="15" customHeight="1">
      <c r="A478" s="690" t="s">
        <v>2481</v>
      </c>
      <c r="B478" s="688" t="s">
        <v>1191</v>
      </c>
      <c r="C478" s="679" t="s">
        <v>161</v>
      </c>
      <c r="D478" s="679" t="s">
        <v>141</v>
      </c>
      <c r="E478" s="680" t="s">
        <v>303</v>
      </c>
      <c r="F478" s="680"/>
      <c r="G478" s="682" t="s">
        <v>1154</v>
      </c>
      <c r="H478" s="3"/>
    </row>
    <row r="479" spans="1:8" ht="15" customHeight="1">
      <c r="A479" s="678" t="s">
        <v>2484</v>
      </c>
      <c r="B479" s="678" t="s">
        <v>1250</v>
      </c>
      <c r="C479" s="679" t="s">
        <v>161</v>
      </c>
      <c r="D479" s="679" t="s">
        <v>131</v>
      </c>
      <c r="E479" s="680" t="s">
        <v>303</v>
      </c>
      <c r="F479" s="680"/>
      <c r="G479" s="682" t="s">
        <v>1154</v>
      </c>
      <c r="H479" s="3"/>
    </row>
    <row r="480" spans="1:8" ht="15" customHeight="1">
      <c r="A480" s="690" t="s">
        <v>2487</v>
      </c>
      <c r="B480" s="688" t="s">
        <v>1195</v>
      </c>
      <c r="C480" s="679" t="s">
        <v>161</v>
      </c>
      <c r="D480" s="679" t="s">
        <v>139</v>
      </c>
      <c r="E480" s="680" t="s">
        <v>303</v>
      </c>
      <c r="F480" s="680"/>
      <c r="G480" s="682" t="s">
        <v>1154</v>
      </c>
      <c r="H480" s="3"/>
    </row>
    <row r="481" spans="1:8" ht="15" customHeight="1">
      <c r="A481" s="678" t="s">
        <v>2490</v>
      </c>
      <c r="B481" s="678" t="s">
        <v>1197</v>
      </c>
      <c r="C481" s="679" t="s">
        <v>161</v>
      </c>
      <c r="D481" s="679" t="s">
        <v>132</v>
      </c>
      <c r="E481" s="680" t="s">
        <v>303</v>
      </c>
      <c r="F481" s="680"/>
      <c r="G481" s="682" t="s">
        <v>1154</v>
      </c>
      <c r="H481" s="3"/>
    </row>
    <row r="482" spans="1:8" ht="15" customHeight="1">
      <c r="A482" s="690" t="s">
        <v>2493</v>
      </c>
      <c r="B482" s="688" t="s">
        <v>1199</v>
      </c>
      <c r="C482" s="679" t="s">
        <v>161</v>
      </c>
      <c r="D482" s="679" t="s">
        <v>137</v>
      </c>
      <c r="E482" s="680" t="s">
        <v>303</v>
      </c>
      <c r="F482" s="680"/>
      <c r="G482" s="682" t="s">
        <v>1154</v>
      </c>
      <c r="H482" s="3"/>
    </row>
    <row r="483" spans="1:8" ht="15" customHeight="1">
      <c r="A483" s="678" t="s">
        <v>2496</v>
      </c>
      <c r="B483" s="678" t="s">
        <v>1201</v>
      </c>
      <c r="C483" s="679" t="s">
        <v>161</v>
      </c>
      <c r="D483" s="679" t="s">
        <v>138</v>
      </c>
      <c r="E483" s="680" t="s">
        <v>303</v>
      </c>
      <c r="F483" s="680"/>
      <c r="G483" s="682" t="s">
        <v>1154</v>
      </c>
      <c r="H483" s="3"/>
    </row>
    <row r="484" spans="1:8" ht="15" customHeight="1">
      <c r="A484" s="690" t="s">
        <v>2499</v>
      </c>
      <c r="B484" s="688" t="s">
        <v>1203</v>
      </c>
      <c r="C484" s="679" t="s">
        <v>161</v>
      </c>
      <c r="D484" s="679" t="s">
        <v>140</v>
      </c>
      <c r="E484" s="680" t="s">
        <v>303</v>
      </c>
      <c r="F484" s="680"/>
      <c r="G484" s="682" t="s">
        <v>1154</v>
      </c>
      <c r="H484" s="3"/>
    </row>
    <row r="485" spans="1:8" ht="15" customHeight="1">
      <c r="A485" s="690" t="s">
        <v>2502</v>
      </c>
      <c r="B485" s="688" t="s">
        <v>1251</v>
      </c>
      <c r="C485" s="679" t="s">
        <v>161</v>
      </c>
      <c r="D485" s="679" t="s">
        <v>133</v>
      </c>
      <c r="E485" s="680" t="s">
        <v>303</v>
      </c>
      <c r="F485" s="680"/>
      <c r="G485" s="682" t="s">
        <v>1154</v>
      </c>
      <c r="H485" s="3"/>
    </row>
    <row r="486" spans="1:8" ht="15" customHeight="1">
      <c r="A486" s="690" t="s">
        <v>3394</v>
      </c>
      <c r="B486" s="688" t="s">
        <v>1252</v>
      </c>
      <c r="C486" s="679" t="s">
        <v>161</v>
      </c>
      <c r="D486" s="679" t="s">
        <v>142</v>
      </c>
      <c r="E486" s="680" t="s">
        <v>303</v>
      </c>
      <c r="F486" s="680"/>
      <c r="G486" s="682" t="s">
        <v>1154</v>
      </c>
      <c r="H486" s="3"/>
    </row>
    <row r="487" spans="1:8" ht="15" customHeight="1">
      <c r="A487" s="678" t="s">
        <v>2505</v>
      </c>
      <c r="B487" s="678" t="s">
        <v>1209</v>
      </c>
      <c r="C487" s="679" t="s">
        <v>161</v>
      </c>
      <c r="D487" s="679" t="s">
        <v>134</v>
      </c>
      <c r="E487" s="680" t="s">
        <v>303</v>
      </c>
      <c r="F487" s="680"/>
      <c r="G487" s="682" t="s">
        <v>1154</v>
      </c>
      <c r="H487" s="3"/>
    </row>
    <row r="488" spans="1:8" ht="15" customHeight="1">
      <c r="A488" s="690" t="s">
        <v>2508</v>
      </c>
      <c r="B488" s="688" t="s">
        <v>1211</v>
      </c>
      <c r="C488" s="679" t="s">
        <v>161</v>
      </c>
      <c r="D488" s="679" t="s">
        <v>221</v>
      </c>
      <c r="E488" s="680" t="s">
        <v>303</v>
      </c>
      <c r="F488" s="680"/>
      <c r="G488" s="682" t="e">
        <v>#N/A</v>
      </c>
      <c r="H488" s="3"/>
    </row>
    <row r="489" spans="1:8" ht="15" customHeight="1">
      <c r="A489" s="678" t="s">
        <v>2511</v>
      </c>
      <c r="B489" s="678" t="s">
        <v>1389</v>
      </c>
      <c r="C489" s="679" t="s">
        <v>161</v>
      </c>
      <c r="D489" s="679" t="s">
        <v>213</v>
      </c>
      <c r="E489" s="680" t="s">
        <v>303</v>
      </c>
      <c r="F489" s="680"/>
      <c r="G489" s="680" t="s">
        <v>1154</v>
      </c>
      <c r="H489" s="3"/>
    </row>
    <row r="490" spans="1:8" ht="15" customHeight="1">
      <c r="A490" s="690" t="s">
        <v>2514</v>
      </c>
      <c r="B490" s="688" t="s">
        <v>1254</v>
      </c>
      <c r="C490" s="679" t="s">
        <v>161</v>
      </c>
      <c r="D490" s="679" t="s">
        <v>212</v>
      </c>
      <c r="E490" s="680" t="s">
        <v>303</v>
      </c>
      <c r="F490" s="680"/>
      <c r="G490" s="682" t="s">
        <v>1154</v>
      </c>
      <c r="H490" s="3"/>
    </row>
    <row r="491" spans="1:8" ht="15" customHeight="1">
      <c r="A491" s="690" t="s">
        <v>2517</v>
      </c>
      <c r="B491" s="688" t="s">
        <v>1256</v>
      </c>
      <c r="C491" s="679" t="s">
        <v>161</v>
      </c>
      <c r="D491" s="679" t="s">
        <v>210</v>
      </c>
      <c r="E491" s="680" t="s">
        <v>303</v>
      </c>
      <c r="F491" s="680"/>
      <c r="G491" s="682" t="s">
        <v>1154</v>
      </c>
      <c r="H491" s="3"/>
    </row>
    <row r="492" spans="1:8" ht="15" customHeight="1">
      <c r="A492" s="690" t="s">
        <v>2520</v>
      </c>
      <c r="B492" s="688" t="s">
        <v>1257</v>
      </c>
      <c r="C492" s="679" t="s">
        <v>161</v>
      </c>
      <c r="D492" s="679" t="s">
        <v>205</v>
      </c>
      <c r="E492" s="680" t="s">
        <v>303</v>
      </c>
      <c r="F492" s="680"/>
      <c r="G492" s="682" t="s">
        <v>1154</v>
      </c>
      <c r="H492" s="3"/>
    </row>
    <row r="493" spans="1:8" ht="15" customHeight="1">
      <c r="A493" s="678" t="s">
        <v>2523</v>
      </c>
      <c r="B493" s="678" t="s">
        <v>1258</v>
      </c>
      <c r="C493" s="679" t="s">
        <v>161</v>
      </c>
      <c r="D493" s="679" t="s">
        <v>209</v>
      </c>
      <c r="E493" s="680" t="s">
        <v>303</v>
      </c>
      <c r="F493" s="680"/>
      <c r="G493" s="682" t="s">
        <v>1154</v>
      </c>
      <c r="H493" s="3"/>
    </row>
    <row r="494" spans="1:8" ht="15" customHeight="1">
      <c r="A494" s="690" t="s">
        <v>2526</v>
      </c>
      <c r="B494" s="688" t="s">
        <v>1259</v>
      </c>
      <c r="C494" s="679" t="s">
        <v>161</v>
      </c>
      <c r="D494" s="679" t="s">
        <v>206</v>
      </c>
      <c r="E494" s="680" t="s">
        <v>303</v>
      </c>
      <c r="F494" s="680"/>
      <c r="G494" s="682" t="s">
        <v>1154</v>
      </c>
      <c r="H494" s="3"/>
    </row>
    <row r="495" spans="1:8" ht="15" customHeight="1">
      <c r="A495" s="690" t="s">
        <v>2529</v>
      </c>
      <c r="B495" s="688" t="s">
        <v>1260</v>
      </c>
      <c r="C495" s="679" t="s">
        <v>161</v>
      </c>
      <c r="D495" s="679" t="s">
        <v>207</v>
      </c>
      <c r="E495" s="680" t="s">
        <v>303</v>
      </c>
      <c r="F495" s="680"/>
      <c r="G495" s="682" t="e">
        <v>#N/A</v>
      </c>
      <c r="H495" s="3"/>
    </row>
    <row r="496" spans="1:8" ht="15" customHeight="1">
      <c r="A496" s="690" t="s">
        <v>2532</v>
      </c>
      <c r="B496" s="688" t="s">
        <v>1261</v>
      </c>
      <c r="C496" s="679" t="s">
        <v>161</v>
      </c>
      <c r="D496" s="679" t="s">
        <v>211</v>
      </c>
      <c r="E496" s="680" t="s">
        <v>303</v>
      </c>
      <c r="F496" s="680"/>
      <c r="G496" s="682" t="e">
        <v>#N/A</v>
      </c>
      <c r="H496" s="3"/>
    </row>
    <row r="497" spans="1:8" ht="15" customHeight="1">
      <c r="A497" s="678" t="s">
        <v>3395</v>
      </c>
      <c r="B497" s="678" t="s">
        <v>1393</v>
      </c>
      <c r="C497" s="679" t="s">
        <v>161</v>
      </c>
      <c r="D497" s="679" t="s">
        <v>214</v>
      </c>
      <c r="E497" s="680" t="s">
        <v>303</v>
      </c>
      <c r="F497" s="680"/>
      <c r="G497" s="680" t="s">
        <v>1154</v>
      </c>
      <c r="H497" s="3"/>
    </row>
    <row r="498" spans="1:8" ht="15" customHeight="1">
      <c r="A498" s="696" t="s">
        <v>3396</v>
      </c>
      <c r="B498" s="696" t="s">
        <v>1262</v>
      </c>
      <c r="C498" s="679" t="s">
        <v>161</v>
      </c>
      <c r="D498" s="679" t="s">
        <v>140</v>
      </c>
      <c r="E498" s="680" t="s">
        <v>303</v>
      </c>
      <c r="F498" s="680"/>
      <c r="G498" s="682" t="s">
        <v>1154</v>
      </c>
      <c r="H498" s="3"/>
    </row>
    <row r="499" spans="1:8" ht="15" customHeight="1">
      <c r="A499" s="678" t="s">
        <v>2535</v>
      </c>
      <c r="B499" s="678" t="s">
        <v>1158</v>
      </c>
      <c r="C499" s="679" t="s">
        <v>176</v>
      </c>
      <c r="D499" s="679" t="s">
        <v>130</v>
      </c>
      <c r="E499" s="680" t="s">
        <v>303</v>
      </c>
      <c r="F499" s="680"/>
      <c r="G499" s="682" t="s">
        <v>1154</v>
      </c>
      <c r="H499" s="3"/>
    </row>
    <row r="500" spans="1:8" ht="15" customHeight="1">
      <c r="A500" s="690" t="s">
        <v>2538</v>
      </c>
      <c r="B500" s="688" t="s">
        <v>805</v>
      </c>
      <c r="C500" s="679"/>
      <c r="D500" s="679"/>
      <c r="E500" s="680" t="s">
        <v>303</v>
      </c>
      <c r="F500" s="680"/>
      <c r="G500" s="682" t="s">
        <v>816</v>
      </c>
      <c r="H500" s="3"/>
    </row>
    <row r="501" spans="1:8" ht="15" customHeight="1">
      <c r="A501" s="690" t="s">
        <v>2541</v>
      </c>
      <c r="B501" s="688" t="s">
        <v>1166</v>
      </c>
      <c r="C501" s="679" t="s">
        <v>176</v>
      </c>
      <c r="D501" s="679" t="s">
        <v>129</v>
      </c>
      <c r="E501" s="680" t="s">
        <v>303</v>
      </c>
      <c r="F501" s="680"/>
      <c r="G501" s="682" t="s">
        <v>1154</v>
      </c>
      <c r="H501" s="3"/>
    </row>
    <row r="502" spans="1:8" ht="15" customHeight="1">
      <c r="A502" s="690" t="s">
        <v>2544</v>
      </c>
      <c r="B502" s="678" t="s">
        <v>806</v>
      </c>
      <c r="C502" s="679"/>
      <c r="D502" s="679"/>
      <c r="E502" s="680" t="s">
        <v>303</v>
      </c>
      <c r="F502" s="680"/>
      <c r="G502" s="682" t="s">
        <v>816</v>
      </c>
      <c r="H502" s="3"/>
    </row>
    <row r="503" spans="1:8" ht="15" customHeight="1">
      <c r="A503" s="690" t="s">
        <v>2547</v>
      </c>
      <c r="B503" s="688" t="s">
        <v>1169</v>
      </c>
      <c r="C503" s="679" t="s">
        <v>176</v>
      </c>
      <c r="D503" s="679" t="s">
        <v>204</v>
      </c>
      <c r="E503" s="680" t="s">
        <v>303</v>
      </c>
      <c r="F503" s="680"/>
      <c r="G503" s="682" t="s">
        <v>1154</v>
      </c>
      <c r="H503" s="3"/>
    </row>
    <row r="504" spans="1:8" ht="15" customHeight="1">
      <c r="A504" s="690" t="s">
        <v>2550</v>
      </c>
      <c r="B504" s="688" t="s">
        <v>1171</v>
      </c>
      <c r="C504" s="679" t="s">
        <v>176</v>
      </c>
      <c r="D504" s="679" t="s">
        <v>120</v>
      </c>
      <c r="E504" s="680" t="s">
        <v>303</v>
      </c>
      <c r="F504" s="680"/>
      <c r="G504" s="682" t="s">
        <v>1154</v>
      </c>
      <c r="H504" s="3"/>
    </row>
    <row r="505" spans="1:8" ht="15" customHeight="1">
      <c r="A505" s="690" t="s">
        <v>2553</v>
      </c>
      <c r="B505" s="688" t="s">
        <v>1244</v>
      </c>
      <c r="C505" s="679" t="s">
        <v>176</v>
      </c>
      <c r="D505" s="679" t="s">
        <v>121</v>
      </c>
      <c r="E505" s="680" t="s">
        <v>303</v>
      </c>
      <c r="F505" s="680"/>
      <c r="G505" s="682" t="s">
        <v>1154</v>
      </c>
      <c r="H505" s="3"/>
    </row>
    <row r="506" spans="1:8" ht="15" customHeight="1">
      <c r="A506" s="690" t="s">
        <v>2556</v>
      </c>
      <c r="B506" s="688" t="s">
        <v>1175</v>
      </c>
      <c r="C506" s="679" t="s">
        <v>176</v>
      </c>
      <c r="D506" s="679" t="s">
        <v>122</v>
      </c>
      <c r="E506" s="680" t="s">
        <v>303</v>
      </c>
      <c r="F506" s="680"/>
      <c r="G506" s="682" t="s">
        <v>1154</v>
      </c>
      <c r="H506" s="3"/>
    </row>
    <row r="507" spans="1:8" ht="15" customHeight="1">
      <c r="A507" s="690" t="s">
        <v>2559</v>
      </c>
      <c r="B507" s="688" t="s">
        <v>1245</v>
      </c>
      <c r="C507" s="679" t="s">
        <v>176</v>
      </c>
      <c r="D507" s="679" t="s">
        <v>123</v>
      </c>
      <c r="E507" s="680" t="s">
        <v>303</v>
      </c>
      <c r="F507" s="680"/>
      <c r="G507" s="682" t="s">
        <v>1154</v>
      </c>
      <c r="H507" s="3"/>
    </row>
    <row r="508" spans="1:8" ht="15" customHeight="1">
      <c r="A508" s="690" t="s">
        <v>2562</v>
      </c>
      <c r="B508" s="678" t="s">
        <v>1229</v>
      </c>
      <c r="C508" s="679" t="s">
        <v>176</v>
      </c>
      <c r="D508" s="679" t="s">
        <v>124</v>
      </c>
      <c r="E508" s="680" t="s">
        <v>303</v>
      </c>
      <c r="F508" s="680"/>
      <c r="G508" s="682" t="s">
        <v>1154</v>
      </c>
      <c r="H508" s="3"/>
    </row>
    <row r="509" spans="1:8" ht="15" customHeight="1">
      <c r="A509" s="690" t="s">
        <v>2565</v>
      </c>
      <c r="B509" s="688" t="s">
        <v>1179</v>
      </c>
      <c r="C509" s="679" t="s">
        <v>176</v>
      </c>
      <c r="D509" s="679" t="s">
        <v>127</v>
      </c>
      <c r="E509" s="680" t="s">
        <v>303</v>
      </c>
      <c r="F509" s="680"/>
      <c r="G509" s="682" t="s">
        <v>1154</v>
      </c>
      <c r="H509" s="3"/>
    </row>
    <row r="510" spans="1:8" ht="15" customHeight="1">
      <c r="A510" s="690" t="s">
        <v>2568</v>
      </c>
      <c r="B510" s="688" t="s">
        <v>1181</v>
      </c>
      <c r="C510" s="679" t="s">
        <v>176</v>
      </c>
      <c r="D510" s="679" t="s">
        <v>125</v>
      </c>
      <c r="E510" s="680" t="s">
        <v>303</v>
      </c>
      <c r="F510" s="680"/>
      <c r="G510" s="682" t="s">
        <v>1154</v>
      </c>
      <c r="H510" s="3"/>
    </row>
    <row r="511" spans="1:8" ht="15" customHeight="1">
      <c r="A511" s="690" t="s">
        <v>3397</v>
      </c>
      <c r="B511" s="688" t="s">
        <v>1394</v>
      </c>
      <c r="C511" s="679" t="s">
        <v>176</v>
      </c>
      <c r="D511" s="679" t="s">
        <v>126</v>
      </c>
      <c r="E511" s="680" t="s">
        <v>303</v>
      </c>
      <c r="F511" s="680"/>
      <c r="G511" s="682" t="s">
        <v>1154</v>
      </c>
      <c r="H511" s="3"/>
    </row>
    <row r="512" spans="1:8" ht="15" customHeight="1">
      <c r="A512" s="690" t="s">
        <v>2571</v>
      </c>
      <c r="B512" s="688" t="s">
        <v>1231</v>
      </c>
      <c r="C512" s="679" t="s">
        <v>176</v>
      </c>
      <c r="D512" s="679" t="s">
        <v>126</v>
      </c>
      <c r="E512" s="680" t="s">
        <v>303</v>
      </c>
      <c r="F512" s="680"/>
      <c r="G512" s="682" t="s">
        <v>2</v>
      </c>
      <c r="H512" s="3"/>
    </row>
    <row r="513" spans="1:29" ht="15" customHeight="1">
      <c r="A513" s="690" t="s">
        <v>2574</v>
      </c>
      <c r="B513" s="688" t="s">
        <v>807</v>
      </c>
      <c r="C513" s="679"/>
      <c r="D513" s="679"/>
      <c r="E513" s="680" t="s">
        <v>303</v>
      </c>
      <c r="F513" s="680"/>
      <c r="G513" s="682" t="e">
        <v>#N/A</v>
      </c>
      <c r="H513" s="3"/>
    </row>
    <row r="514" spans="1:29" ht="15" customHeight="1">
      <c r="A514" s="690" t="s">
        <v>3686</v>
      </c>
      <c r="B514" s="688" t="s">
        <v>1249</v>
      </c>
      <c r="C514" s="679" t="s">
        <v>161</v>
      </c>
      <c r="D514" s="679" t="s">
        <v>130</v>
      </c>
      <c r="E514" s="680" t="s">
        <v>303</v>
      </c>
      <c r="F514" s="680"/>
      <c r="G514" s="682" t="s">
        <v>1154</v>
      </c>
      <c r="H514" s="3"/>
    </row>
    <row r="515" spans="1:29" ht="15" customHeight="1">
      <c r="A515" s="690" t="s">
        <v>2577</v>
      </c>
      <c r="B515" s="688" t="s">
        <v>1187</v>
      </c>
      <c r="C515" s="679" t="s">
        <v>176</v>
      </c>
      <c r="D515" s="679" t="s">
        <v>135</v>
      </c>
      <c r="E515" s="680" t="s">
        <v>303</v>
      </c>
      <c r="F515" s="680"/>
      <c r="G515" s="682" t="s">
        <v>1154</v>
      </c>
      <c r="H515" s="3"/>
    </row>
    <row r="516" spans="1:29" ht="15" customHeight="1">
      <c r="A516" s="690" t="s">
        <v>2580</v>
      </c>
      <c r="B516" s="678" t="s">
        <v>1395</v>
      </c>
      <c r="C516" s="679" t="s">
        <v>176</v>
      </c>
      <c r="D516" s="679" t="s">
        <v>136</v>
      </c>
      <c r="E516" s="680" t="s">
        <v>303</v>
      </c>
      <c r="F516" s="680"/>
      <c r="G516" s="680" t="s">
        <v>1154</v>
      </c>
      <c r="H516" s="3"/>
    </row>
    <row r="517" spans="1:29" ht="15" customHeight="1">
      <c r="A517" s="690" t="s">
        <v>2583</v>
      </c>
      <c r="B517" s="688" t="s">
        <v>1191</v>
      </c>
      <c r="C517" s="679" t="s">
        <v>176</v>
      </c>
      <c r="D517" s="679" t="s">
        <v>141</v>
      </c>
      <c r="E517" s="680" t="s">
        <v>303</v>
      </c>
      <c r="F517" s="680"/>
      <c r="G517" s="682" t="s">
        <v>1154</v>
      </c>
      <c r="H517" s="3"/>
    </row>
    <row r="518" spans="1:29" ht="15" customHeight="1">
      <c r="A518" s="690" t="s">
        <v>2586</v>
      </c>
      <c r="B518" s="688" t="s">
        <v>1193</v>
      </c>
      <c r="C518" s="679" t="s">
        <v>176</v>
      </c>
      <c r="D518" s="679" t="s">
        <v>131</v>
      </c>
      <c r="E518" s="680" t="s">
        <v>303</v>
      </c>
      <c r="F518" s="680"/>
      <c r="G518" s="682" t="s">
        <v>1154</v>
      </c>
      <c r="H518" s="3"/>
    </row>
    <row r="519" spans="1:29" ht="15" customHeight="1">
      <c r="A519" s="690" t="s">
        <v>2589</v>
      </c>
      <c r="B519" s="678" t="s">
        <v>1195</v>
      </c>
      <c r="C519" s="679" t="s">
        <v>176</v>
      </c>
      <c r="D519" s="679" t="s">
        <v>139</v>
      </c>
      <c r="E519" s="680" t="s">
        <v>303</v>
      </c>
      <c r="F519" s="680"/>
      <c r="G519" s="682" t="s">
        <v>1154</v>
      </c>
      <c r="H519" s="3"/>
    </row>
    <row r="520" spans="1:29" ht="15" customHeight="1">
      <c r="A520" s="690" t="s">
        <v>1267</v>
      </c>
      <c r="B520" s="678" t="s">
        <v>808</v>
      </c>
      <c r="C520" s="679"/>
      <c r="D520" s="679"/>
      <c r="E520" s="680" t="s">
        <v>303</v>
      </c>
      <c r="F520" s="686"/>
      <c r="G520" s="682" t="e">
        <v>#N/A</v>
      </c>
      <c r="H520" s="3"/>
      <c r="I520" s="3"/>
      <c r="J520" s="3"/>
      <c r="L520" s="3"/>
      <c r="M520" s="3"/>
      <c r="N520" s="3"/>
      <c r="O520" s="3"/>
      <c r="P520" s="3"/>
      <c r="Q520" s="3"/>
      <c r="R520" s="3"/>
      <c r="S520" s="3"/>
      <c r="T520" s="3"/>
      <c r="U520" s="3"/>
      <c r="V520" s="3"/>
      <c r="W520" s="3"/>
      <c r="X520" s="3"/>
      <c r="Y520" s="3"/>
      <c r="Z520" s="3"/>
      <c r="AA520" s="3"/>
      <c r="AB520" s="3"/>
      <c r="AC520" s="3"/>
    </row>
    <row r="521" spans="1:29" ht="15" customHeight="1">
      <c r="A521" s="690" t="s">
        <v>2594</v>
      </c>
      <c r="B521" s="688" t="s">
        <v>1197</v>
      </c>
      <c r="C521" s="679" t="s">
        <v>176</v>
      </c>
      <c r="D521" s="679" t="s">
        <v>132</v>
      </c>
      <c r="E521" s="680" t="s">
        <v>303</v>
      </c>
      <c r="F521" s="680"/>
      <c r="G521" s="682" t="s">
        <v>1154</v>
      </c>
      <c r="H521" s="3"/>
      <c r="I521" s="3"/>
      <c r="J521" s="3"/>
      <c r="L521" s="3"/>
      <c r="M521" s="3"/>
      <c r="N521" s="3"/>
      <c r="O521" s="3"/>
      <c r="P521" s="3"/>
      <c r="Q521" s="3"/>
      <c r="R521" s="3"/>
      <c r="S521" s="3"/>
      <c r="T521" s="3"/>
      <c r="U521" s="3"/>
      <c r="V521" s="3"/>
      <c r="W521" s="3"/>
      <c r="X521" s="3"/>
      <c r="Y521" s="3"/>
      <c r="Z521" s="3"/>
      <c r="AA521" s="3"/>
      <c r="AB521" s="3"/>
      <c r="AC521" s="3"/>
    </row>
    <row r="522" spans="1:29" ht="13.5" customHeight="1">
      <c r="A522" s="690" t="s">
        <v>2597</v>
      </c>
      <c r="B522" s="678" t="s">
        <v>1199</v>
      </c>
      <c r="C522" s="679" t="s">
        <v>176</v>
      </c>
      <c r="D522" s="679" t="s">
        <v>137</v>
      </c>
      <c r="E522" s="680" t="s">
        <v>303</v>
      </c>
      <c r="F522" s="686"/>
      <c r="G522" s="682" t="s">
        <v>1154</v>
      </c>
      <c r="H522" s="3"/>
    </row>
    <row r="523" spans="1:29" ht="15" customHeight="1">
      <c r="A523" s="690" t="s">
        <v>2600</v>
      </c>
      <c r="B523" s="688" t="s">
        <v>1201</v>
      </c>
      <c r="C523" s="679" t="s">
        <v>176</v>
      </c>
      <c r="D523" s="679" t="s">
        <v>138</v>
      </c>
      <c r="E523" s="680" t="s">
        <v>303</v>
      </c>
      <c r="F523" s="680"/>
      <c r="G523" s="682" t="s">
        <v>1154</v>
      </c>
      <c r="H523" s="3"/>
    </row>
    <row r="524" spans="1:29" ht="15" customHeight="1">
      <c r="A524" s="690" t="s">
        <v>2603</v>
      </c>
      <c r="B524" s="678" t="s">
        <v>1203</v>
      </c>
      <c r="C524" s="679" t="s">
        <v>176</v>
      </c>
      <c r="D524" s="679" t="s">
        <v>140</v>
      </c>
      <c r="E524" s="680" t="s">
        <v>303</v>
      </c>
      <c r="F524" s="686"/>
      <c r="G524" s="682" t="s">
        <v>1154</v>
      </c>
      <c r="H524" s="3"/>
    </row>
    <row r="525" spans="1:29" ht="15" customHeight="1">
      <c r="A525" s="690" t="s">
        <v>2606</v>
      </c>
      <c r="B525" s="678" t="s">
        <v>1265</v>
      </c>
      <c r="C525" s="679" t="s">
        <v>176</v>
      </c>
      <c r="D525" s="679" t="s">
        <v>133</v>
      </c>
      <c r="E525" s="680" t="s">
        <v>303</v>
      </c>
      <c r="F525" s="680"/>
      <c r="G525" s="682" t="s">
        <v>1154</v>
      </c>
      <c r="H525" s="3"/>
    </row>
    <row r="526" spans="1:29" ht="15" customHeight="1">
      <c r="A526" s="690" t="s">
        <v>3398</v>
      </c>
      <c r="B526" s="678" t="s">
        <v>1266</v>
      </c>
      <c r="C526" s="679" t="s">
        <v>176</v>
      </c>
      <c r="D526" s="679" t="s">
        <v>142</v>
      </c>
      <c r="E526" s="680" t="s">
        <v>303</v>
      </c>
      <c r="F526" s="680"/>
      <c r="G526" s="682" t="s">
        <v>1154</v>
      </c>
      <c r="H526" s="3"/>
    </row>
    <row r="527" spans="1:29" ht="15" customHeight="1">
      <c r="A527" s="690" t="s">
        <v>2609</v>
      </c>
      <c r="B527" s="678" t="s">
        <v>1209</v>
      </c>
      <c r="C527" s="679" t="s">
        <v>176</v>
      </c>
      <c r="D527" s="679" t="s">
        <v>134</v>
      </c>
      <c r="E527" s="680" t="s">
        <v>303</v>
      </c>
      <c r="F527" s="686"/>
      <c r="G527" s="682" t="s">
        <v>1154</v>
      </c>
      <c r="H527" s="3"/>
      <c r="K527" s="3"/>
    </row>
    <row r="528" spans="1:29" ht="15" customHeight="1">
      <c r="A528" s="690" t="s">
        <v>2611</v>
      </c>
      <c r="B528" s="688" t="s">
        <v>1211</v>
      </c>
      <c r="C528" s="679" t="s">
        <v>176</v>
      </c>
      <c r="D528" s="679" t="s">
        <v>221</v>
      </c>
      <c r="E528" s="680" t="s">
        <v>303</v>
      </c>
      <c r="F528" s="680"/>
      <c r="G528" s="682" t="s">
        <v>1154</v>
      </c>
      <c r="H528" s="3"/>
      <c r="I528" s="3"/>
      <c r="J528" s="3"/>
      <c r="K528" s="3"/>
      <c r="L528" s="3"/>
      <c r="M528" s="3"/>
      <c r="N528" s="3"/>
      <c r="O528" s="3"/>
      <c r="P528" s="3"/>
      <c r="Q528" s="3"/>
      <c r="R528" s="3"/>
      <c r="S528" s="3"/>
      <c r="T528" s="3"/>
      <c r="U528" s="3"/>
      <c r="V528" s="3"/>
      <c r="W528" s="3"/>
      <c r="X528" s="3"/>
      <c r="Y528" s="3"/>
      <c r="Z528" s="3"/>
      <c r="AA528" s="3"/>
      <c r="AB528" s="3"/>
      <c r="AC528" s="3"/>
    </row>
    <row r="529" spans="1:29" ht="15" customHeight="1">
      <c r="A529" s="690" t="s">
        <v>2614</v>
      </c>
      <c r="B529" s="678" t="s">
        <v>1389</v>
      </c>
      <c r="C529" s="679" t="s">
        <v>176</v>
      </c>
      <c r="D529" s="679" t="s">
        <v>213</v>
      </c>
      <c r="E529" s="680" t="s">
        <v>303</v>
      </c>
      <c r="F529" s="680"/>
      <c r="G529" s="680" t="s">
        <v>1154</v>
      </c>
      <c r="H529" s="3"/>
    </row>
    <row r="530" spans="1:29" ht="15" customHeight="1">
      <c r="A530" s="678" t="s">
        <v>2617</v>
      </c>
      <c r="B530" s="678" t="s">
        <v>809</v>
      </c>
      <c r="C530" s="679"/>
      <c r="D530" s="679"/>
      <c r="E530" s="680" t="s">
        <v>303</v>
      </c>
      <c r="F530" s="680"/>
      <c r="G530" s="682" t="s">
        <v>816</v>
      </c>
      <c r="H530" s="3"/>
    </row>
    <row r="531" spans="1:29" ht="15" customHeight="1">
      <c r="A531" s="690" t="s">
        <v>2620</v>
      </c>
      <c r="B531" s="688" t="s">
        <v>1268</v>
      </c>
      <c r="C531" s="679" t="s">
        <v>176</v>
      </c>
      <c r="D531" s="679" t="s">
        <v>210</v>
      </c>
      <c r="E531" s="680" t="s">
        <v>303</v>
      </c>
      <c r="F531" s="680"/>
      <c r="G531" s="682" t="s">
        <v>1154</v>
      </c>
      <c r="H531" s="3"/>
    </row>
    <row r="532" spans="1:29" ht="15" customHeight="1">
      <c r="A532" s="690" t="s">
        <v>2623</v>
      </c>
      <c r="B532" s="678" t="s">
        <v>1269</v>
      </c>
      <c r="C532" s="679" t="s">
        <v>176</v>
      </c>
      <c r="D532" s="679" t="s">
        <v>205</v>
      </c>
      <c r="E532" s="680" t="s">
        <v>303</v>
      </c>
      <c r="F532" s="680"/>
      <c r="G532" s="682" t="s">
        <v>1154</v>
      </c>
      <c r="H532" s="3"/>
    </row>
    <row r="533" spans="1:29" ht="15" customHeight="1">
      <c r="A533" s="678" t="s">
        <v>2625</v>
      </c>
      <c r="B533" s="688" t="s">
        <v>1270</v>
      </c>
      <c r="C533" s="679" t="s">
        <v>176</v>
      </c>
      <c r="D533" s="679" t="s">
        <v>209</v>
      </c>
      <c r="E533" s="680" t="s">
        <v>303</v>
      </c>
      <c r="F533" s="680"/>
      <c r="G533" s="682" t="s">
        <v>1154</v>
      </c>
      <c r="H533" s="3"/>
    </row>
    <row r="534" spans="1:29" ht="15" customHeight="1">
      <c r="A534" s="678" t="s">
        <v>2627</v>
      </c>
      <c r="B534" s="688" t="s">
        <v>1271</v>
      </c>
      <c r="C534" s="679" t="s">
        <v>176</v>
      </c>
      <c r="D534" s="679" t="s">
        <v>206</v>
      </c>
      <c r="E534" s="680" t="s">
        <v>303</v>
      </c>
      <c r="F534" s="680"/>
      <c r="G534" s="682" t="s">
        <v>1154</v>
      </c>
      <c r="H534" s="3"/>
    </row>
    <row r="535" spans="1:29" ht="15" customHeight="1">
      <c r="A535" s="690" t="s">
        <v>2630</v>
      </c>
      <c r="B535" s="678" t="s">
        <v>1272</v>
      </c>
      <c r="C535" s="679" t="s">
        <v>176</v>
      </c>
      <c r="D535" s="679" t="s">
        <v>207</v>
      </c>
      <c r="E535" s="680" t="s">
        <v>303</v>
      </c>
      <c r="F535" s="680"/>
      <c r="G535" s="682" t="s">
        <v>1154</v>
      </c>
      <c r="H535" s="3"/>
      <c r="I535" s="3"/>
      <c r="J535" s="3"/>
      <c r="L535" s="3"/>
      <c r="M535" s="3"/>
      <c r="N535" s="3"/>
      <c r="O535" s="3"/>
      <c r="P535" s="3"/>
      <c r="Q535" s="3"/>
      <c r="R535" s="3"/>
      <c r="S535" s="3"/>
      <c r="T535" s="3"/>
      <c r="U535" s="3"/>
      <c r="V535" s="3"/>
      <c r="W535" s="3"/>
      <c r="X535" s="3"/>
      <c r="Y535" s="3"/>
      <c r="Z535" s="3"/>
      <c r="AA535" s="3"/>
      <c r="AB535" s="3"/>
      <c r="AC535" s="3"/>
    </row>
    <row r="536" spans="1:29" ht="15" customHeight="1">
      <c r="A536" s="690" t="s">
        <v>2632</v>
      </c>
      <c r="B536" s="678" t="s">
        <v>1273</v>
      </c>
      <c r="C536" s="679" t="s">
        <v>176</v>
      </c>
      <c r="D536" s="679" t="s">
        <v>211</v>
      </c>
      <c r="E536" s="680" t="s">
        <v>303</v>
      </c>
      <c r="F536" s="680"/>
      <c r="G536" s="682" t="s">
        <v>1154</v>
      </c>
      <c r="H536" s="3"/>
      <c r="K536" s="3"/>
    </row>
    <row r="537" spans="1:29" ht="15" customHeight="1">
      <c r="A537" s="678" t="s">
        <v>3399</v>
      </c>
      <c r="B537" s="678" t="s">
        <v>1396</v>
      </c>
      <c r="C537" s="679" t="s">
        <v>176</v>
      </c>
      <c r="D537" s="679" t="s">
        <v>214</v>
      </c>
      <c r="E537" s="680" t="s">
        <v>303</v>
      </c>
      <c r="F537" s="680"/>
      <c r="G537" s="680" t="s">
        <v>1154</v>
      </c>
      <c r="H537" s="3"/>
      <c r="K537" s="3"/>
    </row>
    <row r="538" spans="1:29" ht="15" customHeight="1">
      <c r="A538" s="678" t="s">
        <v>3400</v>
      </c>
      <c r="B538" s="678" t="s">
        <v>3316</v>
      </c>
      <c r="C538" s="679" t="s">
        <v>176</v>
      </c>
      <c r="D538" s="679" t="s">
        <v>140</v>
      </c>
      <c r="E538" s="680" t="s">
        <v>303</v>
      </c>
      <c r="F538" s="680"/>
      <c r="G538" s="682" t="s">
        <v>1154</v>
      </c>
      <c r="H538" s="3"/>
    </row>
    <row r="539" spans="1:29" ht="15" customHeight="1">
      <c r="A539" s="678" t="s">
        <v>2635</v>
      </c>
      <c r="B539" s="688" t="s">
        <v>810</v>
      </c>
      <c r="C539" s="679"/>
      <c r="D539" s="679"/>
      <c r="E539" s="680" t="s">
        <v>303</v>
      </c>
      <c r="F539" s="680"/>
      <c r="G539" s="682" t="s">
        <v>816</v>
      </c>
      <c r="H539" s="3"/>
    </row>
    <row r="540" spans="1:29" ht="15" customHeight="1">
      <c r="A540" s="690" t="s">
        <v>2638</v>
      </c>
      <c r="B540" s="678" t="s">
        <v>811</v>
      </c>
      <c r="C540" s="679"/>
      <c r="D540" s="679"/>
      <c r="E540" s="680" t="s">
        <v>303</v>
      </c>
      <c r="F540" s="686"/>
      <c r="G540" s="682" t="s">
        <v>816</v>
      </c>
      <c r="H540" s="3"/>
    </row>
    <row r="541" spans="1:29" ht="15" customHeight="1">
      <c r="A541" s="690" t="s">
        <v>2641</v>
      </c>
      <c r="B541" s="688" t="s">
        <v>812</v>
      </c>
      <c r="C541" s="679"/>
      <c r="D541" s="679"/>
      <c r="E541" s="680" t="s">
        <v>303</v>
      </c>
      <c r="F541" s="680"/>
      <c r="G541" s="682" t="s">
        <v>816</v>
      </c>
      <c r="H541" s="3"/>
    </row>
    <row r="542" spans="1:29" ht="15" customHeight="1">
      <c r="A542" s="690" t="s">
        <v>2644</v>
      </c>
      <c r="B542" s="688" t="s">
        <v>813</v>
      </c>
      <c r="C542" s="679"/>
      <c r="D542" s="679"/>
      <c r="E542" s="680" t="s">
        <v>303</v>
      </c>
      <c r="F542" s="680"/>
      <c r="G542" s="682" t="s">
        <v>816</v>
      </c>
      <c r="H542" s="3"/>
    </row>
    <row r="543" spans="1:29" ht="15" customHeight="1">
      <c r="A543" s="690" t="s">
        <v>2647</v>
      </c>
      <c r="B543" s="678" t="s">
        <v>1158</v>
      </c>
      <c r="C543" s="679" t="s">
        <v>180</v>
      </c>
      <c r="D543" s="679" t="s">
        <v>130</v>
      </c>
      <c r="E543" s="680" t="s">
        <v>303</v>
      </c>
      <c r="F543" s="680"/>
      <c r="G543" s="682" t="e">
        <v>#N/A</v>
      </c>
      <c r="H543" s="3"/>
    </row>
    <row r="544" spans="1:29" ht="15" customHeight="1">
      <c r="A544" s="690" t="s">
        <v>2650</v>
      </c>
      <c r="B544" s="688" t="s">
        <v>1397</v>
      </c>
      <c r="C544" s="679" t="s">
        <v>180</v>
      </c>
      <c r="D544" s="679" t="s">
        <v>130</v>
      </c>
      <c r="E544" s="680" t="s">
        <v>303</v>
      </c>
      <c r="F544" s="680"/>
      <c r="G544" s="680" t="e">
        <v>#N/A</v>
      </c>
      <c r="H544" s="3"/>
    </row>
    <row r="545" spans="1:29" ht="15" customHeight="1">
      <c r="A545" s="678" t="s">
        <v>2653</v>
      </c>
      <c r="B545" s="688" t="s">
        <v>1166</v>
      </c>
      <c r="C545" s="679" t="s">
        <v>180</v>
      </c>
      <c r="D545" s="679" t="s">
        <v>129</v>
      </c>
      <c r="E545" s="680" t="s">
        <v>303</v>
      </c>
      <c r="F545" s="680"/>
      <c r="G545" s="682" t="s">
        <v>1154</v>
      </c>
      <c r="H545" s="3"/>
    </row>
    <row r="546" spans="1:29" ht="15" customHeight="1">
      <c r="A546" s="690" t="s">
        <v>2656</v>
      </c>
      <c r="B546" s="678" t="s">
        <v>1274</v>
      </c>
      <c r="C546" s="679" t="s">
        <v>180</v>
      </c>
      <c r="D546" s="679" t="s">
        <v>204</v>
      </c>
      <c r="E546" s="680" t="s">
        <v>303</v>
      </c>
      <c r="F546" s="680"/>
      <c r="G546" s="682" t="s">
        <v>2</v>
      </c>
      <c r="H546" s="3"/>
    </row>
    <row r="547" spans="1:29" ht="15" customHeight="1">
      <c r="A547" s="678" t="s">
        <v>2659</v>
      </c>
      <c r="B547" s="688" t="s">
        <v>1171</v>
      </c>
      <c r="C547" s="679" t="s">
        <v>180</v>
      </c>
      <c r="D547" s="679" t="s">
        <v>120</v>
      </c>
      <c r="E547" s="680" t="s">
        <v>303</v>
      </c>
      <c r="F547" s="680"/>
      <c r="G547" s="682" t="s">
        <v>1154</v>
      </c>
      <c r="H547" s="3"/>
    </row>
    <row r="548" spans="1:29" ht="15" customHeight="1">
      <c r="A548" s="690" t="s">
        <v>2662</v>
      </c>
      <c r="B548" s="678" t="s">
        <v>1173</v>
      </c>
      <c r="C548" s="679" t="s">
        <v>180</v>
      </c>
      <c r="D548" s="679" t="s">
        <v>121</v>
      </c>
      <c r="E548" s="680" t="s">
        <v>303</v>
      </c>
      <c r="F548" s="680"/>
      <c r="G548" s="682" t="s">
        <v>2</v>
      </c>
      <c r="H548" s="3"/>
    </row>
    <row r="549" spans="1:29" ht="15" customHeight="1">
      <c r="A549" s="690" t="s">
        <v>2665</v>
      </c>
      <c r="B549" s="688" t="s">
        <v>1175</v>
      </c>
      <c r="C549" s="679" t="s">
        <v>180</v>
      </c>
      <c r="D549" s="679" t="s">
        <v>122</v>
      </c>
      <c r="E549" s="680" t="s">
        <v>303</v>
      </c>
      <c r="F549" s="680"/>
      <c r="G549" s="682" t="s">
        <v>1154</v>
      </c>
      <c r="H549" s="3"/>
    </row>
    <row r="550" spans="1:29" ht="15" customHeight="1">
      <c r="A550" s="690" t="s">
        <v>2668</v>
      </c>
      <c r="B550" s="678" t="s">
        <v>1275</v>
      </c>
      <c r="C550" s="679" t="s">
        <v>180</v>
      </c>
      <c r="D550" s="679" t="s">
        <v>124</v>
      </c>
      <c r="E550" s="680" t="s">
        <v>303</v>
      </c>
      <c r="F550" s="680"/>
      <c r="G550" s="682" t="s">
        <v>1154</v>
      </c>
      <c r="H550" s="3"/>
    </row>
    <row r="551" spans="1:29" ht="15" customHeight="1">
      <c r="A551" s="690" t="s">
        <v>2671</v>
      </c>
      <c r="B551" s="688" t="s">
        <v>1179</v>
      </c>
      <c r="C551" s="679" t="s">
        <v>180</v>
      </c>
      <c r="D551" s="679" t="s">
        <v>127</v>
      </c>
      <c r="E551" s="680" t="s">
        <v>303</v>
      </c>
      <c r="F551" s="680"/>
      <c r="G551" s="682" t="s">
        <v>1154</v>
      </c>
      <c r="H551" s="3"/>
    </row>
    <row r="552" spans="1:29" ht="15" customHeight="1">
      <c r="A552" s="690" t="s">
        <v>2674</v>
      </c>
      <c r="B552" s="678" t="s">
        <v>1181</v>
      </c>
      <c r="C552" s="679" t="s">
        <v>180</v>
      </c>
      <c r="D552" s="679" t="s">
        <v>125</v>
      </c>
      <c r="E552" s="680" t="s">
        <v>303</v>
      </c>
      <c r="F552" s="680"/>
      <c r="G552" s="682" t="s">
        <v>1154</v>
      </c>
      <c r="H552" s="3"/>
    </row>
    <row r="553" spans="1:29" ht="15" customHeight="1">
      <c r="A553" s="690" t="s">
        <v>2677</v>
      </c>
      <c r="B553" s="688" t="s">
        <v>1276</v>
      </c>
      <c r="C553" s="679" t="s">
        <v>180</v>
      </c>
      <c r="D553" s="679" t="s">
        <v>125</v>
      </c>
      <c r="E553" s="680" t="s">
        <v>303</v>
      </c>
      <c r="F553" s="680"/>
      <c r="G553" s="682" t="e">
        <v>#N/A</v>
      </c>
      <c r="H553" s="3"/>
    </row>
    <row r="554" spans="1:29" ht="15" customHeight="1">
      <c r="A554" s="690" t="s">
        <v>2680</v>
      </c>
      <c r="B554" s="678" t="s">
        <v>1231</v>
      </c>
      <c r="C554" s="679" t="s">
        <v>180</v>
      </c>
      <c r="D554" s="679" t="s">
        <v>126</v>
      </c>
      <c r="E554" s="680" t="s">
        <v>303</v>
      </c>
      <c r="F554" s="680"/>
      <c r="G554" s="682" t="s">
        <v>1154</v>
      </c>
      <c r="H554" s="3"/>
      <c r="I554" s="3"/>
      <c r="J554" s="3"/>
      <c r="L554" s="3"/>
      <c r="M554" s="3"/>
      <c r="N554" s="3"/>
      <c r="O554" s="3"/>
      <c r="P554" s="3"/>
      <c r="Q554" s="3"/>
      <c r="R554" s="3"/>
      <c r="S554" s="3"/>
      <c r="T554" s="3"/>
      <c r="U554" s="3"/>
      <c r="V554" s="3"/>
      <c r="W554" s="3"/>
      <c r="X554" s="3"/>
      <c r="Y554" s="3"/>
      <c r="Z554" s="3"/>
      <c r="AA554" s="3"/>
      <c r="AB554" s="3"/>
      <c r="AC554" s="3"/>
    </row>
    <row r="555" spans="1:29" ht="15" customHeight="1">
      <c r="A555" s="690" t="s">
        <v>2684</v>
      </c>
      <c r="B555" s="688" t="s">
        <v>1187</v>
      </c>
      <c r="C555" s="679" t="s">
        <v>180</v>
      </c>
      <c r="D555" s="679" t="s">
        <v>135</v>
      </c>
      <c r="E555" s="680" t="s">
        <v>303</v>
      </c>
      <c r="F555" s="680"/>
      <c r="G555" s="682" t="s">
        <v>1154</v>
      </c>
      <c r="H555" s="3"/>
    </row>
    <row r="556" spans="1:29" ht="15" customHeight="1">
      <c r="A556" s="1019" t="s">
        <v>2687</v>
      </c>
      <c r="B556" s="692" t="s">
        <v>1189</v>
      </c>
      <c r="C556" s="693" t="s">
        <v>180</v>
      </c>
      <c r="D556" s="679" t="s">
        <v>136</v>
      </c>
      <c r="E556" s="680" t="s">
        <v>303</v>
      </c>
      <c r="F556" s="680"/>
      <c r="G556" s="680" t="s">
        <v>1154</v>
      </c>
      <c r="H556" s="3"/>
    </row>
    <row r="557" spans="1:29" ht="15" customHeight="1">
      <c r="A557" s="690" t="s">
        <v>2690</v>
      </c>
      <c r="B557" s="688" t="s">
        <v>1191</v>
      </c>
      <c r="C557" s="679" t="s">
        <v>180</v>
      </c>
      <c r="D557" s="679" t="s">
        <v>141</v>
      </c>
      <c r="E557" s="680" t="s">
        <v>303</v>
      </c>
      <c r="F557" s="680"/>
      <c r="G557" s="682" t="s">
        <v>1154</v>
      </c>
      <c r="H557" s="3"/>
    </row>
    <row r="558" spans="1:29" ht="15" customHeight="1">
      <c r="A558" s="690" t="s">
        <v>2693</v>
      </c>
      <c r="B558" s="678" t="s">
        <v>1193</v>
      </c>
      <c r="C558" s="679" t="s">
        <v>180</v>
      </c>
      <c r="D558" s="679" t="s">
        <v>131</v>
      </c>
      <c r="E558" s="680" t="s">
        <v>303</v>
      </c>
      <c r="F558" s="680"/>
      <c r="G558" s="682" t="s">
        <v>1154</v>
      </c>
      <c r="H558" s="3"/>
    </row>
    <row r="559" spans="1:29" ht="15" customHeight="1">
      <c r="A559" s="678" t="s">
        <v>2696</v>
      </c>
      <c r="B559" s="685" t="s">
        <v>1195</v>
      </c>
      <c r="C559" s="679" t="s">
        <v>180</v>
      </c>
      <c r="D559" s="679" t="s">
        <v>139</v>
      </c>
      <c r="E559" s="680" t="s">
        <v>303</v>
      </c>
      <c r="F559" s="681"/>
      <c r="G559" s="682" t="s">
        <v>2</v>
      </c>
      <c r="H559" s="3"/>
    </row>
    <row r="560" spans="1:29" ht="15" customHeight="1">
      <c r="A560" s="690" t="s">
        <v>2698</v>
      </c>
      <c r="B560" s="685" t="s">
        <v>1197</v>
      </c>
      <c r="C560" s="679" t="s">
        <v>180</v>
      </c>
      <c r="D560" s="679" t="s">
        <v>132</v>
      </c>
      <c r="E560" s="680" t="s">
        <v>303</v>
      </c>
      <c r="F560" s="681"/>
      <c r="G560" s="682" t="e">
        <v>#N/A</v>
      </c>
      <c r="H560" s="3"/>
    </row>
    <row r="561" spans="1:8" ht="15" customHeight="1">
      <c r="A561" s="690" t="s">
        <v>2701</v>
      </c>
      <c r="B561" s="685" t="s">
        <v>1199</v>
      </c>
      <c r="C561" s="679" t="s">
        <v>180</v>
      </c>
      <c r="D561" s="679" t="s">
        <v>137</v>
      </c>
      <c r="E561" s="680" t="s">
        <v>303</v>
      </c>
      <c r="F561" s="681"/>
      <c r="G561" s="682" t="e">
        <v>#N/A</v>
      </c>
      <c r="H561" s="3"/>
    </row>
    <row r="562" spans="1:8" ht="15" customHeight="1">
      <c r="A562" s="690" t="s">
        <v>2704</v>
      </c>
      <c r="B562" s="685" t="s">
        <v>1201</v>
      </c>
      <c r="C562" s="679" t="s">
        <v>180</v>
      </c>
      <c r="D562" s="679" t="s">
        <v>138</v>
      </c>
      <c r="E562" s="680" t="s">
        <v>303</v>
      </c>
      <c r="F562" s="681"/>
      <c r="G562" s="682" t="s">
        <v>1154</v>
      </c>
      <c r="H562" s="3"/>
    </row>
    <row r="563" spans="1:8" ht="15" customHeight="1">
      <c r="A563" s="690" t="s">
        <v>2707</v>
      </c>
      <c r="B563" s="685" t="s">
        <v>1203</v>
      </c>
      <c r="C563" s="679" t="s">
        <v>180</v>
      </c>
      <c r="D563" s="679" t="s">
        <v>140</v>
      </c>
      <c r="E563" s="680" t="s">
        <v>303</v>
      </c>
      <c r="F563" s="681"/>
      <c r="G563" s="682" t="s">
        <v>1154</v>
      </c>
      <c r="H563" s="3"/>
    </row>
    <row r="564" spans="1:8" ht="15" customHeight="1">
      <c r="A564" s="690" t="s">
        <v>2710</v>
      </c>
      <c r="B564" s="685" t="s">
        <v>1277</v>
      </c>
      <c r="C564" s="679" t="s">
        <v>180</v>
      </c>
      <c r="D564" s="679" t="s">
        <v>133</v>
      </c>
      <c r="E564" s="680" t="s">
        <v>303</v>
      </c>
      <c r="F564" s="681"/>
      <c r="G564" s="682" t="s">
        <v>1154</v>
      </c>
      <c r="H564" s="3"/>
    </row>
    <row r="565" spans="1:8" ht="15" customHeight="1">
      <c r="A565" s="690" t="s">
        <v>3401</v>
      </c>
      <c r="B565" s="685" t="s">
        <v>1278</v>
      </c>
      <c r="C565" s="679" t="s">
        <v>180</v>
      </c>
      <c r="D565" s="679" t="s">
        <v>142</v>
      </c>
      <c r="E565" s="680" t="s">
        <v>303</v>
      </c>
      <c r="F565" s="681"/>
      <c r="G565" s="682" t="s">
        <v>2</v>
      </c>
      <c r="H565" s="3"/>
    </row>
    <row r="566" spans="1:8" ht="15" customHeight="1">
      <c r="A566" s="690" t="s">
        <v>3890</v>
      </c>
      <c r="B566" s="685" t="s">
        <v>3889</v>
      </c>
      <c r="C566" s="679" t="s">
        <v>180</v>
      </c>
      <c r="D566" s="679" t="s">
        <v>134</v>
      </c>
      <c r="E566" s="680" t="s">
        <v>303</v>
      </c>
      <c r="F566" s="681"/>
      <c r="G566" s="682" t="s">
        <v>1154</v>
      </c>
      <c r="H566" s="3"/>
    </row>
    <row r="567" spans="1:8" ht="15" customHeight="1">
      <c r="A567" s="690" t="s">
        <v>2713</v>
      </c>
      <c r="B567" s="685" t="s">
        <v>1209</v>
      </c>
      <c r="C567" s="679" t="s">
        <v>180</v>
      </c>
      <c r="D567" s="679" t="s">
        <v>134</v>
      </c>
      <c r="E567" s="680" t="s">
        <v>303</v>
      </c>
      <c r="F567" s="681"/>
      <c r="G567" s="682" t="s">
        <v>1154</v>
      </c>
      <c r="H567" s="3"/>
    </row>
    <row r="568" spans="1:8" ht="15" customHeight="1">
      <c r="A568" s="690" t="s">
        <v>2716</v>
      </c>
      <c r="B568" s="688" t="s">
        <v>1211</v>
      </c>
      <c r="C568" s="679" t="s">
        <v>180</v>
      </c>
      <c r="D568" s="679" t="s">
        <v>221</v>
      </c>
      <c r="E568" s="680" t="s">
        <v>303</v>
      </c>
      <c r="F568" s="681"/>
      <c r="G568" s="682" t="s">
        <v>1154</v>
      </c>
      <c r="H568" s="3"/>
    </row>
    <row r="569" spans="1:8" ht="15" customHeight="1">
      <c r="A569" s="690" t="s">
        <v>2719</v>
      </c>
      <c r="B569" s="685" t="s">
        <v>1389</v>
      </c>
      <c r="C569" s="679" t="s">
        <v>180</v>
      </c>
      <c r="D569" s="679" t="s">
        <v>213</v>
      </c>
      <c r="E569" s="680" t="s">
        <v>303</v>
      </c>
      <c r="F569" s="681"/>
      <c r="G569" s="680" t="s">
        <v>1154</v>
      </c>
      <c r="H569" s="3"/>
    </row>
    <row r="570" spans="1:8" ht="15" customHeight="1">
      <c r="A570" s="690" t="s">
        <v>2722</v>
      </c>
      <c r="B570" s="685" t="s">
        <v>814</v>
      </c>
      <c r="C570" s="679"/>
      <c r="D570" s="679"/>
      <c r="E570" s="680" t="s">
        <v>303</v>
      </c>
      <c r="F570" s="681"/>
      <c r="G570" s="682" t="s">
        <v>816</v>
      </c>
      <c r="H570" s="3"/>
    </row>
    <row r="571" spans="1:8" ht="15" customHeight="1">
      <c r="A571" s="690" t="s">
        <v>2725</v>
      </c>
      <c r="B571" s="685" t="s">
        <v>1279</v>
      </c>
      <c r="C571" s="679" t="s">
        <v>180</v>
      </c>
      <c r="D571" s="679" t="s">
        <v>210</v>
      </c>
      <c r="E571" s="680" t="s">
        <v>303</v>
      </c>
      <c r="F571" s="681"/>
      <c r="G571" s="682" t="s">
        <v>1154</v>
      </c>
      <c r="H571" s="3"/>
    </row>
    <row r="572" spans="1:8" ht="15" customHeight="1">
      <c r="A572" s="690" t="s">
        <v>2728</v>
      </c>
      <c r="B572" s="685" t="s">
        <v>1280</v>
      </c>
      <c r="C572" s="679" t="s">
        <v>180</v>
      </c>
      <c r="D572" s="679" t="s">
        <v>205</v>
      </c>
      <c r="E572" s="680" t="s">
        <v>303</v>
      </c>
      <c r="F572" s="681"/>
      <c r="G572" s="682" t="s">
        <v>1154</v>
      </c>
      <c r="H572" s="3"/>
    </row>
    <row r="573" spans="1:8" ht="15" customHeight="1">
      <c r="A573" s="690" t="s">
        <v>2731</v>
      </c>
      <c r="B573" s="685" t="s">
        <v>1281</v>
      </c>
      <c r="C573" s="679" t="s">
        <v>180</v>
      </c>
      <c r="D573" s="679" t="s">
        <v>209</v>
      </c>
      <c r="E573" s="680" t="s">
        <v>303</v>
      </c>
      <c r="F573" s="681"/>
      <c r="G573" s="682" t="s">
        <v>1154</v>
      </c>
      <c r="H573" s="3"/>
    </row>
    <row r="574" spans="1:8" ht="15" customHeight="1">
      <c r="A574" s="690" t="s">
        <v>2734</v>
      </c>
      <c r="B574" s="685" t="s">
        <v>1282</v>
      </c>
      <c r="C574" s="679" t="s">
        <v>180</v>
      </c>
      <c r="D574" s="679" t="s">
        <v>206</v>
      </c>
      <c r="E574" s="680" t="s">
        <v>303</v>
      </c>
      <c r="F574" s="681"/>
      <c r="G574" s="682" t="s">
        <v>1154</v>
      </c>
      <c r="H574" s="3"/>
    </row>
    <row r="575" spans="1:8" ht="15" customHeight="1">
      <c r="A575" s="690" t="s">
        <v>2737</v>
      </c>
      <c r="B575" s="685" t="s">
        <v>1283</v>
      </c>
      <c r="C575" s="679" t="s">
        <v>180</v>
      </c>
      <c r="D575" s="679" t="s">
        <v>207</v>
      </c>
      <c r="E575" s="680" t="s">
        <v>303</v>
      </c>
      <c r="F575" s="681"/>
      <c r="G575" s="682" t="s">
        <v>1154</v>
      </c>
      <c r="H575" s="3"/>
    </row>
    <row r="576" spans="1:8" ht="15" customHeight="1">
      <c r="A576" s="690" t="s">
        <v>2740</v>
      </c>
      <c r="B576" s="685" t="s">
        <v>1284</v>
      </c>
      <c r="C576" s="679" t="s">
        <v>180</v>
      </c>
      <c r="D576" s="679" t="s">
        <v>211</v>
      </c>
      <c r="E576" s="680" t="s">
        <v>303</v>
      </c>
      <c r="F576" s="681"/>
      <c r="G576" s="682" t="e">
        <v>#N/A</v>
      </c>
      <c r="H576" s="3"/>
    </row>
    <row r="577" spans="1:11" ht="15" customHeight="1">
      <c r="A577" s="697" t="s">
        <v>3402</v>
      </c>
      <c r="B577" s="697" t="s">
        <v>1398</v>
      </c>
      <c r="C577" s="679" t="s">
        <v>180</v>
      </c>
      <c r="D577" s="679" t="s">
        <v>214</v>
      </c>
      <c r="E577" s="680" t="s">
        <v>303</v>
      </c>
      <c r="F577" s="680"/>
      <c r="G577" s="680" t="s">
        <v>2</v>
      </c>
      <c r="H577" s="3"/>
    </row>
    <row r="578" spans="1:11" ht="15" customHeight="1">
      <c r="A578" s="678" t="s">
        <v>2742</v>
      </c>
      <c r="B578" s="685" t="s">
        <v>726</v>
      </c>
      <c r="C578" s="679"/>
      <c r="D578" s="679"/>
      <c r="E578" s="680"/>
      <c r="F578" s="681"/>
      <c r="G578" s="682" t="e">
        <v>#N/A</v>
      </c>
      <c r="H578" s="3"/>
    </row>
    <row r="579" spans="1:11" ht="15" customHeight="1">
      <c r="A579" s="690" t="s">
        <v>2745</v>
      </c>
      <c r="B579" s="685" t="s">
        <v>727</v>
      </c>
      <c r="C579" s="679"/>
      <c r="D579" s="679"/>
      <c r="E579" s="680"/>
      <c r="F579" s="681"/>
      <c r="G579" s="682" t="e">
        <v>#N/A</v>
      </c>
      <c r="H579" s="3"/>
    </row>
    <row r="580" spans="1:11" ht="15" customHeight="1">
      <c r="A580" s="690" t="s">
        <v>2748</v>
      </c>
      <c r="B580" s="685" t="s">
        <v>728</v>
      </c>
      <c r="C580" s="679"/>
      <c r="D580" s="679"/>
      <c r="E580" s="680"/>
      <c r="F580" s="681"/>
      <c r="G580" s="682" t="s">
        <v>816</v>
      </c>
      <c r="H580" s="3"/>
    </row>
    <row r="581" spans="1:11" ht="15" customHeight="1">
      <c r="A581" s="678" t="s">
        <v>3403</v>
      </c>
      <c r="B581" s="678" t="s">
        <v>1399</v>
      </c>
      <c r="C581" s="679" t="s">
        <v>198</v>
      </c>
      <c r="D581" s="679" t="s">
        <v>216</v>
      </c>
      <c r="E581" s="680" t="s">
        <v>303</v>
      </c>
      <c r="F581" s="681"/>
      <c r="G581" s="682" t="s">
        <v>1154</v>
      </c>
      <c r="H581" s="3"/>
    </row>
    <row r="582" spans="1:11" ht="15" customHeight="1">
      <c r="A582" s="698" t="s">
        <v>2751</v>
      </c>
      <c r="B582" s="695" t="s">
        <v>1287</v>
      </c>
      <c r="C582" s="693" t="s">
        <v>92</v>
      </c>
      <c r="D582" s="679" t="s">
        <v>148</v>
      </c>
      <c r="E582" s="680" t="s">
        <v>303</v>
      </c>
      <c r="F582" s="681"/>
      <c r="G582" s="682" t="s">
        <v>1154</v>
      </c>
      <c r="H582" s="3"/>
    </row>
    <row r="583" spans="1:11" ht="15" customHeight="1">
      <c r="A583" s="698" t="s">
        <v>1289</v>
      </c>
      <c r="B583" s="695" t="s">
        <v>1288</v>
      </c>
      <c r="C583" s="693" t="s">
        <v>180</v>
      </c>
      <c r="D583" s="679" t="s">
        <v>188</v>
      </c>
      <c r="E583" s="680" t="s">
        <v>303</v>
      </c>
      <c r="F583" s="681"/>
      <c r="G583" s="682" t="s">
        <v>1154</v>
      </c>
      <c r="H583" s="3"/>
      <c r="K583" s="3"/>
    </row>
    <row r="584" spans="1:11" ht="15" customHeight="1">
      <c r="A584" s="690" t="s">
        <v>2756</v>
      </c>
      <c r="B584" s="685" t="s">
        <v>1400</v>
      </c>
      <c r="C584" s="679" t="s">
        <v>92</v>
      </c>
      <c r="D584" s="679" t="s">
        <v>145</v>
      </c>
      <c r="E584" s="680" t="s">
        <v>303</v>
      </c>
      <c r="F584" s="681"/>
      <c r="G584" s="682" t="s">
        <v>1154</v>
      </c>
      <c r="H584" s="3"/>
    </row>
    <row r="585" spans="1:11" ht="15" customHeight="1">
      <c r="A585" s="698" t="s">
        <v>1291</v>
      </c>
      <c r="B585" s="705" t="s">
        <v>1290</v>
      </c>
      <c r="C585" s="679" t="s">
        <v>92</v>
      </c>
      <c r="D585" s="679" t="s">
        <v>105</v>
      </c>
      <c r="E585" s="680" t="s">
        <v>303</v>
      </c>
      <c r="F585" s="681" t="s">
        <v>1368</v>
      </c>
      <c r="G585" s="682" t="s">
        <v>1154</v>
      </c>
      <c r="H585" s="3"/>
    </row>
    <row r="586" spans="1:11" ht="15" customHeight="1">
      <c r="A586" s="699" t="s">
        <v>1293</v>
      </c>
      <c r="B586" s="1039" t="s">
        <v>1292</v>
      </c>
      <c r="C586" s="693" t="s">
        <v>92</v>
      </c>
      <c r="D586" s="679"/>
      <c r="E586" s="686" t="s">
        <v>341</v>
      </c>
      <c r="F586" s="681"/>
      <c r="G586" s="682" t="s">
        <v>1285</v>
      </c>
      <c r="H586" s="3"/>
    </row>
    <row r="587" spans="1:11" ht="15" customHeight="1">
      <c r="A587" s="690" t="s">
        <v>1295</v>
      </c>
      <c r="B587" s="695" t="s">
        <v>1294</v>
      </c>
      <c r="C587" s="693" t="s">
        <v>152</v>
      </c>
      <c r="D587" s="679" t="s">
        <v>105</v>
      </c>
      <c r="E587" s="680" t="s">
        <v>303</v>
      </c>
      <c r="F587" s="681" t="s">
        <v>1368</v>
      </c>
      <c r="G587" s="682" t="s">
        <v>1154</v>
      </c>
      <c r="H587" s="3"/>
    </row>
    <row r="588" spans="1:11" ht="15" customHeight="1">
      <c r="A588" s="1035" t="s">
        <v>1296</v>
      </c>
      <c r="B588" s="1035" t="s">
        <v>1294</v>
      </c>
      <c r="C588" s="679" t="s">
        <v>152</v>
      </c>
      <c r="D588" s="679"/>
      <c r="E588" s="686" t="s">
        <v>341</v>
      </c>
      <c r="F588" s="681"/>
      <c r="G588" s="682" t="s">
        <v>1285</v>
      </c>
      <c r="H588" s="3"/>
    </row>
    <row r="589" spans="1:11" ht="15" customHeight="1">
      <c r="A589" s="690" t="s">
        <v>2763</v>
      </c>
      <c r="B589" s="685" t="s">
        <v>1297</v>
      </c>
      <c r="C589" s="679" t="s">
        <v>92</v>
      </c>
      <c r="D589" s="679" t="s">
        <v>107</v>
      </c>
      <c r="E589" s="680" t="s">
        <v>303</v>
      </c>
      <c r="F589" s="681" t="s">
        <v>1368</v>
      </c>
      <c r="G589" s="682" t="e">
        <v>#N/A</v>
      </c>
      <c r="H589" s="3"/>
    </row>
    <row r="590" spans="1:11" ht="15" customHeight="1">
      <c r="A590" s="690" t="s">
        <v>2766</v>
      </c>
      <c r="B590" s="685" t="s">
        <v>1298</v>
      </c>
      <c r="C590" s="679" t="s">
        <v>152</v>
      </c>
      <c r="D590" s="679" t="s">
        <v>107</v>
      </c>
      <c r="E590" s="680" t="s">
        <v>303</v>
      </c>
      <c r="F590" s="681" t="s">
        <v>1368</v>
      </c>
      <c r="G590" s="682" t="e">
        <v>#N/A</v>
      </c>
      <c r="H590" s="3"/>
    </row>
    <row r="591" spans="1:11" ht="15" customHeight="1">
      <c r="A591" s="1035" t="s">
        <v>1300</v>
      </c>
      <c r="B591" s="1035" t="s">
        <v>1299</v>
      </c>
      <c r="C591" s="679" t="s">
        <v>152</v>
      </c>
      <c r="D591" s="679"/>
      <c r="E591" s="686" t="s">
        <v>341</v>
      </c>
      <c r="F591" s="681"/>
      <c r="G591" s="682" t="e">
        <v>#N/A</v>
      </c>
      <c r="H591" s="3"/>
    </row>
    <row r="592" spans="1:11" ht="15" customHeight="1">
      <c r="A592" s="690" t="s">
        <v>2769</v>
      </c>
      <c r="B592" s="685" t="s">
        <v>1301</v>
      </c>
      <c r="C592" s="679" t="s">
        <v>92</v>
      </c>
      <c r="D592" s="679" t="s">
        <v>106</v>
      </c>
      <c r="E592" s="680" t="s">
        <v>303</v>
      </c>
      <c r="F592" s="681" t="s">
        <v>1368</v>
      </c>
      <c r="G592" s="682" t="s">
        <v>2</v>
      </c>
      <c r="H592" s="3"/>
    </row>
    <row r="593" spans="1:11" ht="15" customHeight="1">
      <c r="A593" s="699" t="s">
        <v>3346</v>
      </c>
      <c r="B593" s="1037" t="s">
        <v>3345</v>
      </c>
      <c r="C593" s="679"/>
      <c r="D593" s="679"/>
      <c r="E593" s="686" t="s">
        <v>341</v>
      </c>
      <c r="F593" s="681"/>
      <c r="G593" s="682" t="e">
        <v>#N/A</v>
      </c>
      <c r="H593" s="3"/>
    </row>
    <row r="594" spans="1:11" ht="15" customHeight="1">
      <c r="A594" s="698" t="s">
        <v>2772</v>
      </c>
      <c r="B594" s="679" t="s">
        <v>1302</v>
      </c>
      <c r="C594" s="679" t="s">
        <v>92</v>
      </c>
      <c r="D594" s="679" t="s">
        <v>106</v>
      </c>
      <c r="E594" s="680" t="s">
        <v>303</v>
      </c>
      <c r="F594" s="681" t="s">
        <v>1368</v>
      </c>
      <c r="G594" s="682" t="s">
        <v>2</v>
      </c>
      <c r="H594" s="3"/>
    </row>
    <row r="595" spans="1:11" ht="15" customHeight="1">
      <c r="A595" s="699" t="s">
        <v>3348</v>
      </c>
      <c r="B595" s="1037" t="s">
        <v>3347</v>
      </c>
      <c r="C595" s="679" t="s">
        <v>92</v>
      </c>
      <c r="D595" s="679"/>
      <c r="E595" s="686" t="s">
        <v>341</v>
      </c>
      <c r="F595" s="681"/>
      <c r="G595" s="682" t="e">
        <v>#N/A</v>
      </c>
      <c r="H595" s="3"/>
    </row>
    <row r="596" spans="1:11" ht="15" customHeight="1">
      <c r="A596" s="698" t="s">
        <v>2775</v>
      </c>
      <c r="B596" s="679" t="s">
        <v>1303</v>
      </c>
      <c r="C596" s="679" t="s">
        <v>152</v>
      </c>
      <c r="D596" s="679" t="s">
        <v>106</v>
      </c>
      <c r="E596" s="680" t="s">
        <v>303</v>
      </c>
      <c r="F596" s="681" t="s">
        <v>1368</v>
      </c>
      <c r="G596" s="682" t="s">
        <v>2</v>
      </c>
      <c r="H596" s="3"/>
      <c r="K596" s="3"/>
    </row>
    <row r="597" spans="1:11" ht="15" customHeight="1">
      <c r="A597" s="699" t="s">
        <v>1305</v>
      </c>
      <c r="B597" s="699" t="s">
        <v>1304</v>
      </c>
      <c r="C597" s="679" t="s">
        <v>152</v>
      </c>
      <c r="D597" s="679"/>
      <c r="E597" s="686" t="s">
        <v>341</v>
      </c>
      <c r="F597" s="681"/>
      <c r="G597" s="682" t="e">
        <v>#N/A</v>
      </c>
      <c r="H597" s="3"/>
    </row>
    <row r="598" spans="1:11" ht="15" customHeight="1">
      <c r="A598" s="698" t="s">
        <v>2778</v>
      </c>
      <c r="B598" s="679" t="s">
        <v>1306</v>
      </c>
      <c r="C598" s="679" t="s">
        <v>152</v>
      </c>
      <c r="D598" s="679" t="s">
        <v>106</v>
      </c>
      <c r="E598" s="680" t="s">
        <v>303</v>
      </c>
      <c r="F598" s="681" t="s">
        <v>1368</v>
      </c>
      <c r="G598" s="682" t="s">
        <v>2</v>
      </c>
      <c r="H598" s="3"/>
    </row>
    <row r="599" spans="1:11" ht="15" customHeight="1">
      <c r="A599" s="699" t="s">
        <v>1308</v>
      </c>
      <c r="B599" s="699" t="s">
        <v>1307</v>
      </c>
      <c r="C599" s="679" t="s">
        <v>152</v>
      </c>
      <c r="D599" s="679"/>
      <c r="E599" s="686" t="s">
        <v>341</v>
      </c>
      <c r="F599" s="681"/>
      <c r="G599" s="682" t="e">
        <v>#N/A</v>
      </c>
      <c r="H599" s="3"/>
    </row>
    <row r="600" spans="1:11" ht="15" customHeight="1">
      <c r="A600" s="698" t="s">
        <v>2781</v>
      </c>
      <c r="B600" s="679" t="s">
        <v>1401</v>
      </c>
      <c r="C600" s="679" t="s">
        <v>92</v>
      </c>
      <c r="D600" s="679" t="s">
        <v>149</v>
      </c>
      <c r="E600" s="680" t="s">
        <v>303</v>
      </c>
      <c r="F600" s="681"/>
      <c r="G600" s="682" t="s">
        <v>1154</v>
      </c>
      <c r="H600" s="3"/>
    </row>
    <row r="601" spans="1:11" ht="15" customHeight="1">
      <c r="A601" s="698" t="s">
        <v>3404</v>
      </c>
      <c r="B601" s="679" t="s">
        <v>1402</v>
      </c>
      <c r="C601" s="679" t="s">
        <v>152</v>
      </c>
      <c r="D601" s="679" t="s">
        <v>149</v>
      </c>
      <c r="E601" s="680" t="s">
        <v>303</v>
      </c>
      <c r="F601" s="681"/>
      <c r="G601" s="682" t="s">
        <v>1154</v>
      </c>
      <c r="H601" s="3"/>
    </row>
    <row r="602" spans="1:11" ht="15" customHeight="1">
      <c r="A602" s="698" t="s">
        <v>1310</v>
      </c>
      <c r="B602" s="679" t="s">
        <v>1312</v>
      </c>
      <c r="C602" s="679" t="s">
        <v>198</v>
      </c>
      <c r="D602" s="679" t="s">
        <v>216</v>
      </c>
      <c r="E602" s="680" t="s">
        <v>303</v>
      </c>
      <c r="F602" s="681"/>
      <c r="G602" s="682" t="s">
        <v>1154</v>
      </c>
      <c r="H602" s="3"/>
    </row>
    <row r="603" spans="1:11" ht="15" customHeight="1">
      <c r="A603" s="698" t="s">
        <v>3405</v>
      </c>
      <c r="B603" s="679" t="s">
        <v>1403</v>
      </c>
      <c r="C603" s="679" t="s">
        <v>198</v>
      </c>
      <c r="D603" s="679" t="s">
        <v>216</v>
      </c>
      <c r="E603" s="680" t="s">
        <v>303</v>
      </c>
      <c r="F603" s="681"/>
      <c r="G603" s="680" t="s">
        <v>1154</v>
      </c>
      <c r="H603" s="3"/>
    </row>
    <row r="604" spans="1:11" ht="15" customHeight="1">
      <c r="A604" s="698" t="s">
        <v>1315</v>
      </c>
      <c r="B604" s="1038" t="s">
        <v>1313</v>
      </c>
      <c r="C604" s="679" t="s">
        <v>198</v>
      </c>
      <c r="D604" s="679" t="s">
        <v>223</v>
      </c>
      <c r="E604" s="680" t="s">
        <v>303</v>
      </c>
      <c r="F604" s="681"/>
      <c r="G604" s="682" t="s">
        <v>1154</v>
      </c>
      <c r="H604" s="3"/>
    </row>
    <row r="605" spans="1:11" ht="15" customHeight="1">
      <c r="A605" s="698" t="s">
        <v>2788</v>
      </c>
      <c r="B605" s="1038" t="s">
        <v>1404</v>
      </c>
      <c r="C605" s="679" t="s">
        <v>198</v>
      </c>
      <c r="D605" s="679" t="s">
        <v>222</v>
      </c>
      <c r="E605" s="680" t="s">
        <v>303</v>
      </c>
      <c r="F605" s="681"/>
      <c r="G605" s="680" t="s">
        <v>1154</v>
      </c>
      <c r="H605" s="3"/>
    </row>
    <row r="606" spans="1:11" ht="15" customHeight="1">
      <c r="A606" s="698" t="s">
        <v>2791</v>
      </c>
      <c r="B606" s="679" t="s">
        <v>1316</v>
      </c>
      <c r="C606" s="679" t="s">
        <v>198</v>
      </c>
      <c r="D606" s="679" t="s">
        <v>223</v>
      </c>
      <c r="E606" s="680" t="s">
        <v>303</v>
      </c>
      <c r="F606" s="681"/>
      <c r="G606" s="682" t="s">
        <v>1154</v>
      </c>
      <c r="H606" s="3"/>
    </row>
    <row r="607" spans="1:11" ht="15" customHeight="1">
      <c r="A607" s="698" t="s">
        <v>3892</v>
      </c>
      <c r="B607" s="679" t="s">
        <v>3891</v>
      </c>
      <c r="C607" s="679" t="s">
        <v>1325</v>
      </c>
      <c r="D607" s="679" t="s">
        <v>3861</v>
      </c>
      <c r="E607" s="680" t="s">
        <v>303</v>
      </c>
      <c r="F607" s="681"/>
      <c r="G607" s="682" t="s">
        <v>1154</v>
      </c>
      <c r="H607" s="3"/>
    </row>
    <row r="608" spans="1:11" ht="15" customHeight="1">
      <c r="A608" s="698" t="s">
        <v>2794</v>
      </c>
      <c r="B608" s="679" t="s">
        <v>1405</v>
      </c>
      <c r="C608" s="679" t="s">
        <v>198</v>
      </c>
      <c r="D608" s="679" t="s">
        <v>142</v>
      </c>
      <c r="E608" s="680" t="s">
        <v>303</v>
      </c>
      <c r="F608" s="681"/>
      <c r="G608" s="680" t="s">
        <v>1154</v>
      </c>
      <c r="H608" s="3"/>
    </row>
    <row r="609" spans="1:8" ht="15" customHeight="1">
      <c r="A609" s="690" t="s">
        <v>3554</v>
      </c>
      <c r="B609" s="685" t="s">
        <v>3553</v>
      </c>
      <c r="C609" s="679" t="s">
        <v>161</v>
      </c>
      <c r="D609" s="679" t="s">
        <v>140</v>
      </c>
      <c r="E609" s="680" t="s">
        <v>303</v>
      </c>
      <c r="F609" s="680"/>
      <c r="G609" s="682" t="s">
        <v>1154</v>
      </c>
      <c r="H609" s="3"/>
    </row>
    <row r="610" spans="1:8" ht="15" customHeight="1">
      <c r="A610" s="1172" t="s">
        <v>3906</v>
      </c>
      <c r="B610" s="1173" t="s">
        <v>3905</v>
      </c>
      <c r="C610" s="679" t="s">
        <v>152</v>
      </c>
      <c r="D610" s="679" t="s">
        <v>153</v>
      </c>
      <c r="E610" s="680" t="s">
        <v>303</v>
      </c>
      <c r="F610" s="681"/>
      <c r="G610" s="680" t="s">
        <v>1110</v>
      </c>
      <c r="H610" s="3"/>
    </row>
    <row r="611" spans="1:8" ht="15" customHeight="1">
      <c r="A611" s="1174" t="s">
        <v>3907</v>
      </c>
      <c r="B611" s="1173" t="s">
        <v>1397</v>
      </c>
      <c r="C611" s="679" t="s">
        <v>176</v>
      </c>
      <c r="D611" s="679" t="s">
        <v>130</v>
      </c>
      <c r="E611" s="680" t="s">
        <v>303</v>
      </c>
      <c r="F611" s="681"/>
      <c r="G611" s="680" t="s">
        <v>1154</v>
      </c>
      <c r="H611" s="3"/>
    </row>
    <row r="612" spans="1:8" ht="15" customHeight="1">
      <c r="A612" s="685"/>
      <c r="B612" s="685"/>
      <c r="C612" s="679"/>
      <c r="D612" s="679"/>
      <c r="E612" s="680"/>
      <c r="F612" s="681"/>
      <c r="G612" s="680" t="e">
        <v>#N/A</v>
      </c>
      <c r="H612" s="3"/>
    </row>
    <row r="613" spans="1:8" ht="15" customHeight="1">
      <c r="A613" s="677"/>
      <c r="B613" s="688"/>
      <c r="C613" s="679"/>
      <c r="D613" s="679"/>
      <c r="E613" s="680"/>
      <c r="F613" s="681"/>
      <c r="G613" s="680" t="e">
        <v>#N/A</v>
      </c>
      <c r="H613" s="3"/>
    </row>
    <row r="614" spans="1:8" ht="15" customHeight="1">
      <c r="A614" s="685"/>
      <c r="B614" s="685"/>
      <c r="C614" s="679"/>
      <c r="D614" s="679"/>
      <c r="E614" s="680"/>
      <c r="F614" s="681"/>
      <c r="G614" s="680" t="e">
        <v>#N/A</v>
      </c>
      <c r="H614" s="3"/>
    </row>
    <row r="615" spans="1:8" ht="15" customHeight="1">
      <c r="A615" s="685"/>
      <c r="B615" s="685"/>
      <c r="C615" s="679"/>
      <c r="D615" s="679"/>
      <c r="E615" s="680"/>
      <c r="F615" s="681"/>
      <c r="G615" s="680" t="e">
        <v>#N/A</v>
      </c>
      <c r="H615" s="3"/>
    </row>
    <row r="616" spans="1:8" ht="15" customHeight="1">
      <c r="A616" s="690"/>
      <c r="B616" s="685"/>
      <c r="C616" s="679"/>
      <c r="D616" s="679"/>
      <c r="E616" s="680"/>
      <c r="F616" s="681"/>
      <c r="G616" s="680" t="e">
        <v>#N/A</v>
      </c>
      <c r="H616" s="3"/>
    </row>
    <row r="617" spans="1:8" ht="15" customHeight="1">
      <c r="A617" s="677"/>
      <c r="B617" s="688"/>
      <c r="C617" s="679"/>
      <c r="D617" s="679"/>
      <c r="E617" s="680"/>
      <c r="F617" s="681"/>
      <c r="G617" s="680" t="e">
        <v>#N/A</v>
      </c>
      <c r="H617" s="3"/>
    </row>
    <row r="618" spans="1:8" ht="15" customHeight="1">
      <c r="A618" s="689"/>
      <c r="B618" s="678"/>
      <c r="C618" s="679"/>
      <c r="D618" s="679"/>
      <c r="E618" s="680"/>
      <c r="F618" s="681"/>
      <c r="G618" s="680" t="e">
        <v>#N/A</v>
      </c>
      <c r="H618" s="3"/>
    </row>
    <row r="619" spans="1:8" ht="15" customHeight="1">
      <c r="A619" s="689"/>
      <c r="B619" s="678"/>
      <c r="C619" s="679"/>
      <c r="D619" s="679"/>
      <c r="E619" s="680"/>
      <c r="F619" s="681"/>
      <c r="G619" s="680" t="e">
        <v>#N/A</v>
      </c>
      <c r="H619" s="3"/>
    </row>
    <row r="620" spans="1:8" ht="15" customHeight="1">
      <c r="A620" s="677"/>
      <c r="B620" s="685"/>
      <c r="C620" s="679"/>
      <c r="D620" s="679"/>
      <c r="E620" s="680"/>
      <c r="F620" s="681"/>
      <c r="G620" s="680" t="e">
        <v>#N/A</v>
      </c>
      <c r="H620" s="3"/>
    </row>
    <row r="621" spans="1:8" ht="15" customHeight="1">
      <c r="A621" s="690"/>
      <c r="B621" s="685"/>
      <c r="C621" s="679"/>
      <c r="D621" s="679"/>
      <c r="E621" s="680"/>
      <c r="F621" s="681"/>
      <c r="G621" s="680" t="e">
        <v>#N/A</v>
      </c>
      <c r="H621" s="3"/>
    </row>
    <row r="622" spans="1:8" ht="15" customHeight="1">
      <c r="A622" s="690"/>
      <c r="B622" s="685"/>
      <c r="C622" s="679"/>
      <c r="D622" s="679"/>
      <c r="E622" s="680"/>
      <c r="F622" s="681"/>
      <c r="G622" s="680" t="e">
        <v>#N/A</v>
      </c>
      <c r="H622" s="3"/>
    </row>
    <row r="623" spans="1:8" ht="15" customHeight="1">
      <c r="A623" s="690"/>
      <c r="B623" s="685"/>
      <c r="C623" s="679"/>
      <c r="D623" s="679"/>
      <c r="E623" s="680"/>
      <c r="F623" s="681"/>
      <c r="G623" s="680" t="e">
        <v>#N/A</v>
      </c>
      <c r="H623" s="3"/>
    </row>
    <row r="624" spans="1:8" ht="15" customHeight="1">
      <c r="A624" s="690"/>
      <c r="B624" s="685"/>
      <c r="C624" s="679"/>
      <c r="D624" s="679"/>
      <c r="E624" s="680"/>
      <c r="F624" s="681"/>
      <c r="G624" s="680" t="e">
        <v>#N/A</v>
      </c>
      <c r="H624" s="3"/>
    </row>
    <row r="625" spans="1:29" ht="15" customHeight="1">
      <c r="A625" s="677"/>
      <c r="B625" s="688"/>
      <c r="C625" s="679"/>
      <c r="D625" s="679"/>
      <c r="E625" s="680"/>
      <c r="F625" s="681"/>
      <c r="G625" s="680" t="e">
        <v>#N/A</v>
      </c>
      <c r="H625" s="3"/>
    </row>
    <row r="626" spans="1:29" ht="15" customHeight="1">
      <c r="A626" s="677"/>
      <c r="B626" s="688"/>
      <c r="C626" s="679"/>
      <c r="D626" s="679"/>
      <c r="E626" s="680"/>
      <c r="F626" s="681"/>
      <c r="G626" s="680" t="e">
        <v>#N/A</v>
      </c>
      <c r="H626" s="3"/>
    </row>
    <row r="627" spans="1:29" ht="15" customHeight="1">
      <c r="A627" s="677"/>
      <c r="B627" s="688"/>
      <c r="C627" s="679"/>
      <c r="D627" s="679"/>
      <c r="E627" s="680"/>
      <c r="F627" s="681"/>
      <c r="G627" s="680" t="e">
        <v>#N/A</v>
      </c>
      <c r="H627" s="3"/>
    </row>
    <row r="628" spans="1:29" ht="15" customHeight="1">
      <c r="A628" s="691"/>
      <c r="B628" s="700"/>
      <c r="C628" s="679"/>
      <c r="D628" s="679"/>
      <c r="E628" s="680"/>
      <c r="F628" s="681"/>
      <c r="G628" s="680" t="e">
        <v>#N/A</v>
      </c>
      <c r="H628" s="3"/>
    </row>
    <row r="629" spans="1:29" ht="15" customHeight="1">
      <c r="A629" s="677"/>
      <c r="B629" s="688"/>
      <c r="C629" s="679"/>
      <c r="D629" s="679"/>
      <c r="E629" s="680"/>
      <c r="F629" s="681"/>
      <c r="G629" s="680" t="e">
        <v>#N/A</v>
      </c>
      <c r="H629" s="3"/>
    </row>
    <row r="630" spans="1:29" ht="15" customHeight="1">
      <c r="A630" s="677"/>
      <c r="B630" s="688"/>
      <c r="C630" s="679"/>
      <c r="D630" s="679"/>
      <c r="E630" s="680"/>
      <c r="F630" s="681"/>
      <c r="G630" s="680" t="e">
        <v>#N/A</v>
      </c>
      <c r="H630" s="3"/>
    </row>
    <row r="631" spans="1:29" ht="15" customHeight="1">
      <c r="A631" s="677"/>
      <c r="B631" s="688"/>
      <c r="C631" s="679"/>
      <c r="D631" s="679"/>
      <c r="E631" s="680"/>
      <c r="F631" s="681"/>
      <c r="G631" s="680" t="e">
        <v>#N/A</v>
      </c>
      <c r="H631" s="3"/>
    </row>
    <row r="632" spans="1:29" ht="15" customHeight="1">
      <c r="A632" s="677"/>
      <c r="B632" s="688"/>
      <c r="C632" s="679"/>
      <c r="D632" s="679"/>
      <c r="E632" s="680"/>
      <c r="F632" s="681"/>
      <c r="G632" s="680" t="e">
        <v>#N/A</v>
      </c>
      <c r="H632" s="3"/>
      <c r="I632" s="3"/>
      <c r="J632" s="3"/>
      <c r="L632" s="3"/>
      <c r="M632" s="3"/>
      <c r="N632" s="3"/>
      <c r="O632" s="3"/>
      <c r="P632" s="3"/>
      <c r="Q632" s="3"/>
      <c r="R632" s="3"/>
      <c r="S632" s="3"/>
      <c r="T632" s="3"/>
      <c r="U632" s="3"/>
      <c r="V632" s="3"/>
      <c r="W632" s="3"/>
      <c r="X632" s="3"/>
      <c r="Y632" s="3"/>
      <c r="Z632" s="3"/>
      <c r="AA632" s="3"/>
      <c r="AB632" s="3"/>
      <c r="AC632" s="3"/>
    </row>
    <row r="633" spans="1:29" ht="15" customHeight="1">
      <c r="A633" s="688"/>
      <c r="B633" s="688"/>
      <c r="C633" s="679"/>
      <c r="D633" s="679"/>
      <c r="E633" s="680"/>
      <c r="F633" s="681"/>
      <c r="G633" s="680" t="e">
        <v>#N/A</v>
      </c>
      <c r="H633" s="3"/>
    </row>
    <row r="634" spans="1:29" ht="15" customHeight="1">
      <c r="A634" s="688"/>
      <c r="B634" s="688"/>
      <c r="C634" s="679"/>
      <c r="D634" s="679"/>
      <c r="E634" s="680"/>
      <c r="F634" s="681"/>
      <c r="G634" s="680" t="e">
        <v>#N/A</v>
      </c>
      <c r="H634" s="3"/>
    </row>
    <row r="635" spans="1:29" ht="15" customHeight="1">
      <c r="A635" s="677"/>
      <c r="B635" s="688"/>
      <c r="C635" s="679"/>
      <c r="D635" s="679"/>
      <c r="E635" s="680"/>
      <c r="F635" s="681"/>
      <c r="G635" s="680" t="e">
        <v>#N/A</v>
      </c>
      <c r="H635" s="3"/>
    </row>
    <row r="636" spans="1:29" ht="15" customHeight="1">
      <c r="A636" s="677"/>
      <c r="B636" s="688"/>
      <c r="C636" s="679"/>
      <c r="D636" s="679"/>
      <c r="E636" s="680"/>
      <c r="F636" s="681"/>
      <c r="G636" s="680" t="e">
        <v>#N/A</v>
      </c>
      <c r="H636" s="3"/>
    </row>
    <row r="637" spans="1:29" ht="15" customHeight="1">
      <c r="A637" s="677"/>
      <c r="B637" s="688"/>
      <c r="C637" s="679"/>
      <c r="D637" s="679"/>
      <c r="E637" s="680"/>
      <c r="F637" s="681"/>
      <c r="G637" s="680" t="e">
        <v>#N/A</v>
      </c>
      <c r="H637" s="3"/>
    </row>
    <row r="638" spans="1:29" ht="15" customHeight="1">
      <c r="A638" s="677"/>
      <c r="B638" s="688"/>
      <c r="C638" s="679"/>
      <c r="D638" s="679"/>
      <c r="E638" s="680"/>
      <c r="F638" s="681"/>
      <c r="G638" s="680" t="e">
        <v>#N/A</v>
      </c>
      <c r="H638" s="3"/>
    </row>
    <row r="639" spans="1:29" ht="15" customHeight="1">
      <c r="A639" s="677"/>
      <c r="B639" s="688"/>
      <c r="C639" s="679"/>
      <c r="D639" s="679"/>
      <c r="E639" s="680"/>
      <c r="F639" s="681"/>
      <c r="G639" s="680" t="e">
        <v>#N/A</v>
      </c>
      <c r="H639" s="3"/>
      <c r="K639" s="3"/>
    </row>
    <row r="640" spans="1:29" ht="15" customHeight="1">
      <c r="A640" s="677"/>
      <c r="B640" s="688"/>
      <c r="C640" s="679"/>
      <c r="D640" s="679"/>
      <c r="E640" s="680"/>
      <c r="F640" s="681"/>
      <c r="G640" s="680" t="e">
        <v>#N/A</v>
      </c>
      <c r="H640" s="3"/>
    </row>
    <row r="641" spans="1:8" ht="15" customHeight="1">
      <c r="A641" s="677"/>
      <c r="B641" s="688"/>
      <c r="C641" s="679"/>
      <c r="D641" s="679"/>
      <c r="E641" s="680"/>
      <c r="F641" s="681"/>
      <c r="G641" s="680" t="e">
        <v>#N/A</v>
      </c>
      <c r="H641" s="3"/>
    </row>
    <row r="642" spans="1:8" ht="15" customHeight="1">
      <c r="A642" s="677"/>
      <c r="B642" s="688"/>
      <c r="C642" s="679"/>
      <c r="D642" s="679"/>
      <c r="E642" s="680"/>
      <c r="F642" s="681"/>
      <c r="G642" s="680" t="e">
        <v>#N/A</v>
      </c>
      <c r="H642" s="3"/>
    </row>
    <row r="643" spans="1:8" ht="15" customHeight="1">
      <c r="A643" s="677"/>
      <c r="B643" s="688"/>
      <c r="C643" s="679"/>
      <c r="D643" s="679"/>
      <c r="E643" s="680"/>
      <c r="F643" s="681"/>
      <c r="G643" s="680" t="e">
        <v>#N/A</v>
      </c>
      <c r="H643" s="3"/>
    </row>
    <row r="644" spans="1:8" ht="15" customHeight="1">
      <c r="A644" s="677"/>
      <c r="B644" s="688"/>
      <c r="C644" s="679"/>
      <c r="D644" s="679"/>
      <c r="E644" s="680"/>
      <c r="F644" s="681"/>
      <c r="G644" s="680" t="e">
        <v>#N/A</v>
      </c>
      <c r="H644" s="3"/>
    </row>
    <row r="645" spans="1:8" ht="15" customHeight="1">
      <c r="A645" s="677"/>
      <c r="B645" s="688"/>
      <c r="C645" s="679"/>
      <c r="D645" s="679"/>
      <c r="E645" s="680"/>
      <c r="F645" s="681"/>
      <c r="G645" s="680" t="e">
        <v>#N/A</v>
      </c>
      <c r="H645" s="3"/>
    </row>
    <row r="646" spans="1:8" ht="15" customHeight="1">
      <c r="A646" s="677"/>
      <c r="B646" s="688"/>
      <c r="C646" s="679"/>
      <c r="D646" s="679"/>
      <c r="E646" s="680"/>
      <c r="F646" s="681"/>
      <c r="G646" s="680" t="e">
        <v>#N/A</v>
      </c>
      <c r="H646" s="3"/>
    </row>
    <row r="647" spans="1:8" ht="15" customHeight="1">
      <c r="A647" s="677"/>
      <c r="B647" s="688"/>
      <c r="C647" s="679"/>
      <c r="D647" s="679"/>
      <c r="E647" s="680"/>
      <c r="F647" s="681"/>
      <c r="G647" s="680" t="e">
        <v>#N/A</v>
      </c>
      <c r="H647" s="3"/>
    </row>
    <row r="648" spans="1:8" ht="15" customHeight="1">
      <c r="A648" s="677"/>
      <c r="B648" s="688"/>
      <c r="C648" s="679"/>
      <c r="D648" s="679"/>
      <c r="E648" s="680"/>
      <c r="F648" s="681"/>
      <c r="G648" s="680" t="e">
        <v>#N/A</v>
      </c>
      <c r="H648" s="3"/>
    </row>
    <row r="649" spans="1:8" ht="15" customHeight="1">
      <c r="A649" s="677"/>
      <c r="B649" s="688"/>
      <c r="C649" s="679"/>
      <c r="D649" s="679"/>
      <c r="E649" s="680"/>
      <c r="F649" s="681"/>
      <c r="G649" s="680" t="e">
        <v>#N/A</v>
      </c>
      <c r="H649" s="3"/>
    </row>
    <row r="650" spans="1:8" ht="15" customHeight="1">
      <c r="A650" s="677"/>
      <c r="B650" s="688"/>
      <c r="C650" s="679"/>
      <c r="D650" s="679"/>
      <c r="E650" s="680"/>
      <c r="F650" s="681"/>
      <c r="G650" s="680" t="e">
        <v>#N/A</v>
      </c>
      <c r="H650" s="3"/>
    </row>
    <row r="651" spans="1:8" ht="15" customHeight="1">
      <c r="A651" s="677"/>
      <c r="B651" s="688"/>
      <c r="C651" s="679"/>
      <c r="D651" s="679"/>
      <c r="E651" s="680"/>
      <c r="F651" s="681"/>
      <c r="G651" s="680" t="e">
        <v>#N/A</v>
      </c>
      <c r="H651" s="3"/>
    </row>
    <row r="652" spans="1:8" ht="15" customHeight="1">
      <c r="A652" s="677"/>
      <c r="B652" s="688"/>
      <c r="C652" s="679"/>
      <c r="D652" s="679"/>
      <c r="E652" s="680"/>
      <c r="F652" s="681"/>
      <c r="G652" s="680" t="e">
        <v>#N/A</v>
      </c>
      <c r="H652" s="3"/>
    </row>
    <row r="653" spans="1:8" ht="15" customHeight="1">
      <c r="A653" s="688"/>
      <c r="B653" s="688"/>
      <c r="C653" s="679"/>
      <c r="D653" s="679"/>
      <c r="E653" s="680"/>
      <c r="F653" s="681"/>
      <c r="G653" s="680" t="e">
        <v>#N/A</v>
      </c>
      <c r="H653" s="3"/>
    </row>
    <row r="654" spans="1:8" ht="15" customHeight="1">
      <c r="A654" s="688"/>
      <c r="B654" s="688"/>
      <c r="C654" s="679"/>
      <c r="D654" s="679"/>
      <c r="E654" s="680"/>
      <c r="F654" s="681"/>
      <c r="G654" s="680" t="e">
        <v>#N/A</v>
      </c>
      <c r="H654" s="3"/>
    </row>
    <row r="655" spans="1:8" ht="15" customHeight="1">
      <c r="A655" s="677"/>
      <c r="B655" s="688"/>
      <c r="C655" s="679"/>
      <c r="D655" s="679"/>
      <c r="E655" s="680"/>
      <c r="F655" s="681"/>
      <c r="G655" s="680" t="e">
        <v>#N/A</v>
      </c>
      <c r="H655" s="3"/>
    </row>
    <row r="656" spans="1:8" ht="15" customHeight="1">
      <c r="A656" s="677"/>
      <c r="B656" s="688"/>
      <c r="C656" s="679"/>
      <c r="D656" s="679"/>
      <c r="E656" s="680"/>
      <c r="F656" s="681"/>
      <c r="G656" s="680" t="e">
        <v>#N/A</v>
      </c>
      <c r="H656" s="3"/>
    </row>
    <row r="657" spans="1:29" ht="15" customHeight="1">
      <c r="A657" s="677"/>
      <c r="B657" s="688"/>
      <c r="C657" s="679"/>
      <c r="D657" s="679"/>
      <c r="E657" s="680"/>
      <c r="F657" s="681"/>
      <c r="G657" s="680" t="e">
        <v>#N/A</v>
      </c>
      <c r="H657" s="3"/>
    </row>
    <row r="658" spans="1:29" ht="15" customHeight="1">
      <c r="A658" s="677"/>
      <c r="B658" s="701"/>
      <c r="C658" s="693"/>
      <c r="D658" s="679"/>
      <c r="E658" s="680"/>
      <c r="F658" s="681"/>
      <c r="G658" s="680" t="e">
        <v>#N/A</v>
      </c>
      <c r="H658" s="3"/>
    </row>
    <row r="659" spans="1:29" ht="15" customHeight="1">
      <c r="A659" s="677"/>
      <c r="B659" s="688"/>
      <c r="C659" s="679"/>
      <c r="D659" s="679"/>
      <c r="E659" s="680"/>
      <c r="F659" s="681"/>
      <c r="G659" s="680" t="e">
        <v>#N/A</v>
      </c>
      <c r="H659" s="3"/>
    </row>
    <row r="660" spans="1:29" ht="15" customHeight="1">
      <c r="A660" s="677"/>
      <c r="B660" s="688"/>
      <c r="C660" s="679"/>
      <c r="D660" s="679"/>
      <c r="E660" s="680"/>
      <c r="F660" s="681"/>
      <c r="G660" s="680" t="e">
        <v>#N/A</v>
      </c>
      <c r="H660" s="3"/>
    </row>
    <row r="661" spans="1:29" ht="15" customHeight="1">
      <c r="A661" s="677"/>
      <c r="B661" s="688"/>
      <c r="C661" s="679"/>
      <c r="D661" s="679"/>
      <c r="E661" s="680"/>
      <c r="F661" s="681"/>
      <c r="G661" s="680" t="e">
        <v>#N/A</v>
      </c>
      <c r="H661" s="3"/>
    </row>
    <row r="662" spans="1:29" ht="15" customHeight="1">
      <c r="A662" s="677"/>
      <c r="B662" s="688"/>
      <c r="C662" s="679"/>
      <c r="D662" s="679"/>
      <c r="E662" s="680"/>
      <c r="F662" s="681"/>
      <c r="G662" s="680" t="e">
        <v>#N/A</v>
      </c>
      <c r="H662" s="3"/>
    </row>
    <row r="663" spans="1:29" ht="15" customHeight="1">
      <c r="A663" s="677"/>
      <c r="B663" s="688"/>
      <c r="C663" s="679"/>
      <c r="D663" s="679"/>
      <c r="E663" s="680"/>
      <c r="F663" s="681"/>
      <c r="G663" s="680" t="e">
        <v>#N/A</v>
      </c>
      <c r="H663" s="3"/>
      <c r="I663" s="3"/>
      <c r="J663" s="3"/>
      <c r="L663" s="3"/>
      <c r="M663" s="3"/>
      <c r="N663" s="3"/>
      <c r="O663" s="3"/>
      <c r="P663" s="3"/>
      <c r="Q663" s="3"/>
      <c r="R663" s="3"/>
      <c r="S663" s="3"/>
      <c r="T663" s="3"/>
      <c r="U663" s="3"/>
      <c r="V663" s="3"/>
      <c r="W663" s="3"/>
      <c r="X663" s="3"/>
      <c r="Y663" s="3"/>
      <c r="Z663" s="3"/>
      <c r="AA663" s="3"/>
      <c r="AB663" s="3"/>
      <c r="AC663" s="3"/>
    </row>
    <row r="664" spans="1:29" ht="15" customHeight="1">
      <c r="A664" s="677"/>
      <c r="B664" s="688"/>
      <c r="C664" s="679"/>
      <c r="D664" s="679"/>
      <c r="E664" s="680"/>
      <c r="F664" s="681"/>
      <c r="G664" s="680" t="e">
        <v>#N/A</v>
      </c>
      <c r="H664" s="3"/>
    </row>
    <row r="665" spans="1:29" ht="15" customHeight="1">
      <c r="A665" s="677"/>
      <c r="B665" s="688"/>
      <c r="C665" s="679"/>
      <c r="D665" s="679"/>
      <c r="E665" s="680"/>
      <c r="F665" s="681"/>
      <c r="G665" s="680" t="e">
        <v>#N/A</v>
      </c>
      <c r="H665" s="3"/>
    </row>
    <row r="666" spans="1:29" ht="15" customHeight="1">
      <c r="A666" s="677"/>
      <c r="B666" s="688"/>
      <c r="C666" s="679"/>
      <c r="D666" s="679"/>
      <c r="E666" s="680"/>
      <c r="F666" s="681"/>
      <c r="G666" s="680" t="e">
        <v>#N/A</v>
      </c>
      <c r="H666" s="3"/>
    </row>
    <row r="667" spans="1:29" ht="15" customHeight="1">
      <c r="A667" s="677"/>
      <c r="B667" s="688"/>
      <c r="C667" s="679"/>
      <c r="D667" s="679"/>
      <c r="E667" s="680"/>
      <c r="F667" s="681"/>
      <c r="G667" s="680" t="e">
        <v>#N/A</v>
      </c>
      <c r="H667" s="3"/>
    </row>
    <row r="668" spans="1:29" ht="15" customHeight="1">
      <c r="A668" s="677"/>
      <c r="B668" s="688"/>
      <c r="C668" s="679"/>
      <c r="D668" s="679"/>
      <c r="E668" s="680"/>
      <c r="F668" s="681"/>
      <c r="G668" s="680" t="e">
        <v>#N/A</v>
      </c>
      <c r="H668" s="3"/>
    </row>
    <row r="669" spans="1:29" ht="15" customHeight="1">
      <c r="A669" s="677"/>
      <c r="B669" s="688"/>
      <c r="C669" s="679"/>
      <c r="D669" s="679"/>
      <c r="E669" s="680"/>
      <c r="F669" s="681"/>
      <c r="G669" s="680" t="e">
        <v>#N/A</v>
      </c>
      <c r="H669" s="3"/>
    </row>
    <row r="670" spans="1:29" ht="15" customHeight="1">
      <c r="A670" s="677"/>
      <c r="B670" s="688"/>
      <c r="C670" s="679"/>
      <c r="D670" s="679"/>
      <c r="E670" s="680"/>
      <c r="F670" s="681"/>
      <c r="G670" s="680" t="e">
        <v>#N/A</v>
      </c>
      <c r="H670" s="3"/>
    </row>
    <row r="671" spans="1:29" ht="15" customHeight="1">
      <c r="A671" s="677"/>
      <c r="B671" s="688"/>
      <c r="C671" s="679"/>
      <c r="D671" s="679"/>
      <c r="E671" s="680"/>
      <c r="F671" s="681"/>
      <c r="G671" s="680" t="e">
        <v>#N/A</v>
      </c>
      <c r="H671" s="3"/>
    </row>
    <row r="672" spans="1:29" ht="15" customHeight="1">
      <c r="A672" s="677"/>
      <c r="B672" s="688"/>
      <c r="C672" s="679"/>
      <c r="D672" s="679"/>
      <c r="E672" s="680"/>
      <c r="F672" s="681"/>
      <c r="G672" s="680" t="e">
        <v>#N/A</v>
      </c>
      <c r="H672" s="3"/>
    </row>
    <row r="673" spans="1:8" ht="15" customHeight="1">
      <c r="A673" s="677"/>
      <c r="B673" s="688"/>
      <c r="C673" s="679"/>
      <c r="D673" s="679"/>
      <c r="E673" s="680"/>
      <c r="F673" s="681"/>
      <c r="G673" s="680" t="e">
        <v>#N/A</v>
      </c>
      <c r="H673" s="3"/>
    </row>
    <row r="674" spans="1:8" ht="15" customHeight="1">
      <c r="A674" s="677"/>
      <c r="B674" s="688"/>
      <c r="C674" s="679"/>
      <c r="D674" s="679"/>
      <c r="E674" s="680"/>
      <c r="F674" s="681"/>
      <c r="G674" s="680" t="e">
        <v>#N/A</v>
      </c>
      <c r="H674" s="3"/>
    </row>
    <row r="675" spans="1:8" ht="15" customHeight="1">
      <c r="A675" s="677"/>
      <c r="B675" s="688"/>
      <c r="C675" s="679"/>
      <c r="D675" s="679"/>
      <c r="E675" s="680"/>
      <c r="F675" s="681"/>
      <c r="G675" s="680" t="e">
        <v>#N/A</v>
      </c>
      <c r="H675" s="3"/>
    </row>
    <row r="676" spans="1:8" ht="15" customHeight="1">
      <c r="A676" s="677"/>
      <c r="B676" s="688"/>
      <c r="C676" s="679"/>
      <c r="D676" s="679"/>
      <c r="E676" s="680"/>
      <c r="F676" s="681"/>
      <c r="G676" s="680" t="e">
        <v>#N/A</v>
      </c>
      <c r="H676" s="3"/>
    </row>
    <row r="677" spans="1:8" ht="15" customHeight="1">
      <c r="A677" s="677"/>
      <c r="B677" s="688"/>
      <c r="C677" s="679"/>
      <c r="D677" s="679"/>
      <c r="E677" s="680"/>
      <c r="F677" s="681"/>
      <c r="G677" s="680" t="e">
        <v>#N/A</v>
      </c>
      <c r="H677" s="3"/>
    </row>
    <row r="678" spans="1:8" ht="15" customHeight="1">
      <c r="A678" s="677"/>
      <c r="B678" s="688"/>
      <c r="C678" s="679"/>
      <c r="D678" s="679"/>
      <c r="E678" s="680"/>
      <c r="F678" s="681"/>
      <c r="G678" s="680" t="e">
        <v>#N/A</v>
      </c>
      <c r="H678" s="3"/>
    </row>
    <row r="679" spans="1:8" ht="15" customHeight="1">
      <c r="A679" s="677"/>
      <c r="B679" s="688"/>
      <c r="C679" s="679"/>
      <c r="D679" s="679"/>
      <c r="E679" s="680"/>
      <c r="F679" s="681"/>
      <c r="G679" s="680" t="e">
        <v>#N/A</v>
      </c>
      <c r="H679" s="3"/>
    </row>
    <row r="680" spans="1:8" ht="15" customHeight="1">
      <c r="A680" s="677"/>
      <c r="B680" s="688"/>
      <c r="C680" s="679"/>
      <c r="D680" s="679"/>
      <c r="E680" s="680"/>
      <c r="F680" s="681"/>
      <c r="G680" s="680" t="e">
        <v>#N/A</v>
      </c>
      <c r="H680" s="3"/>
    </row>
    <row r="681" spans="1:8" ht="15" customHeight="1">
      <c r="A681" s="677"/>
      <c r="B681" s="688"/>
      <c r="C681" s="679"/>
      <c r="D681" s="679"/>
      <c r="E681" s="680"/>
      <c r="F681" s="681"/>
      <c r="G681" s="680" t="e">
        <v>#N/A</v>
      </c>
      <c r="H681" s="3"/>
    </row>
    <row r="682" spans="1:8" ht="15" customHeight="1">
      <c r="A682" s="677"/>
      <c r="B682" s="688"/>
      <c r="C682" s="679"/>
      <c r="D682" s="679"/>
      <c r="E682" s="680"/>
      <c r="F682" s="681"/>
      <c r="G682" s="680" t="e">
        <v>#N/A</v>
      </c>
      <c r="H682" s="3"/>
    </row>
    <row r="683" spans="1:8" ht="15" customHeight="1">
      <c r="A683" s="677"/>
      <c r="B683" s="688"/>
      <c r="C683" s="679"/>
      <c r="D683" s="679"/>
      <c r="E683" s="680"/>
      <c r="F683" s="681"/>
      <c r="G683" s="680" t="e">
        <v>#N/A</v>
      </c>
      <c r="H683" s="3"/>
    </row>
    <row r="684" spans="1:8" ht="15" customHeight="1">
      <c r="A684" s="677"/>
      <c r="B684" s="688"/>
      <c r="C684" s="679"/>
      <c r="D684" s="679"/>
      <c r="E684" s="680"/>
      <c r="F684" s="681"/>
      <c r="G684" s="680" t="e">
        <v>#N/A</v>
      </c>
      <c r="H684" s="3"/>
    </row>
    <row r="685" spans="1:8" ht="15" customHeight="1">
      <c r="A685" s="677"/>
      <c r="B685" s="688"/>
      <c r="C685" s="679"/>
      <c r="D685" s="679"/>
      <c r="E685" s="680"/>
      <c r="F685" s="681"/>
      <c r="G685" s="680" t="e">
        <v>#N/A</v>
      </c>
      <c r="H685" s="3"/>
    </row>
    <row r="686" spans="1:8" ht="15" customHeight="1">
      <c r="A686" s="677"/>
      <c r="B686" s="700"/>
      <c r="C686" s="679"/>
      <c r="D686" s="679"/>
      <c r="E686" s="680"/>
      <c r="F686" s="681"/>
      <c r="G686" s="680" t="e">
        <v>#N/A</v>
      </c>
      <c r="H686" s="3"/>
    </row>
    <row r="687" spans="1:8" ht="15" customHeight="1">
      <c r="A687" s="677"/>
      <c r="B687" s="700"/>
      <c r="C687" s="679"/>
      <c r="D687" s="679"/>
      <c r="E687" s="680"/>
      <c r="F687" s="681"/>
      <c r="G687" s="680" t="e">
        <v>#N/A</v>
      </c>
      <c r="H687" s="3"/>
    </row>
    <row r="688" spans="1:8" ht="15" customHeight="1">
      <c r="A688" s="677"/>
      <c r="B688" s="688"/>
      <c r="C688" s="679"/>
      <c r="D688" s="679"/>
      <c r="E688" s="680"/>
      <c r="F688" s="681"/>
      <c r="G688" s="680" t="e">
        <v>#N/A</v>
      </c>
      <c r="H688" s="3"/>
    </row>
    <row r="689" spans="1:29" ht="15" customHeight="1">
      <c r="A689" s="677"/>
      <c r="B689" s="688"/>
      <c r="C689" s="679"/>
      <c r="D689" s="679"/>
      <c r="E689" s="680"/>
      <c r="F689" s="681"/>
      <c r="G689" s="680" t="e">
        <v>#N/A</v>
      </c>
      <c r="H689" s="3"/>
    </row>
    <row r="690" spans="1:29" ht="15" customHeight="1">
      <c r="A690" s="677"/>
      <c r="B690" s="688"/>
      <c r="C690" s="679"/>
      <c r="D690" s="679"/>
      <c r="E690" s="680"/>
      <c r="F690" s="681"/>
      <c r="G690" s="680" t="e">
        <v>#N/A</v>
      </c>
      <c r="H690" s="3"/>
    </row>
    <row r="691" spans="1:29" ht="15" customHeight="1">
      <c r="A691" s="677"/>
      <c r="B691" s="688"/>
      <c r="C691" s="679"/>
      <c r="D691" s="679"/>
      <c r="E691" s="680"/>
      <c r="F691" s="681"/>
      <c r="G691" s="680" t="e">
        <v>#N/A</v>
      </c>
      <c r="H691" s="3"/>
    </row>
    <row r="692" spans="1:29" ht="15" customHeight="1">
      <c r="A692" s="677"/>
      <c r="B692" s="688"/>
      <c r="C692" s="679"/>
      <c r="D692" s="679"/>
      <c r="E692" s="680"/>
      <c r="F692" s="681"/>
      <c r="G692" s="680" t="e">
        <v>#N/A</v>
      </c>
      <c r="H692" s="3"/>
    </row>
    <row r="693" spans="1:29" ht="15" customHeight="1">
      <c r="A693" s="677"/>
      <c r="B693" s="688"/>
      <c r="C693" s="679"/>
      <c r="D693" s="679"/>
      <c r="E693" s="680"/>
      <c r="F693" s="681"/>
      <c r="G693" s="680" t="e">
        <v>#N/A</v>
      </c>
      <c r="H693" s="3"/>
    </row>
    <row r="694" spans="1:29" ht="15" customHeight="1">
      <c r="A694" s="677"/>
      <c r="B694" s="688"/>
      <c r="C694" s="679"/>
      <c r="D694" s="679"/>
      <c r="E694" s="680"/>
      <c r="F694" s="681"/>
      <c r="G694" s="680" t="e">
        <v>#N/A</v>
      </c>
      <c r="H694" s="3"/>
    </row>
    <row r="695" spans="1:29" ht="15" customHeight="1">
      <c r="A695" s="677"/>
      <c r="B695" s="688"/>
      <c r="C695" s="679"/>
      <c r="D695" s="679"/>
      <c r="E695" s="680"/>
      <c r="F695" s="681"/>
      <c r="G695" s="680" t="e">
        <v>#N/A</v>
      </c>
      <c r="H695" s="3"/>
    </row>
    <row r="696" spans="1:29" ht="15" customHeight="1">
      <c r="A696" s="677"/>
      <c r="B696" s="688"/>
      <c r="C696" s="679"/>
      <c r="D696" s="679"/>
      <c r="E696" s="680"/>
      <c r="F696" s="681"/>
      <c r="G696" s="680" t="e">
        <v>#N/A</v>
      </c>
      <c r="H696" s="3"/>
    </row>
    <row r="697" spans="1:29" ht="15" customHeight="1">
      <c r="A697" s="677"/>
      <c r="B697" s="688"/>
      <c r="C697" s="679"/>
      <c r="D697" s="679"/>
      <c r="E697" s="680"/>
      <c r="F697" s="681"/>
      <c r="G697" s="680" t="e">
        <v>#N/A</v>
      </c>
      <c r="H697" s="3"/>
    </row>
    <row r="698" spans="1:29" ht="15" customHeight="1">
      <c r="A698" s="677"/>
      <c r="B698" s="688"/>
      <c r="C698" s="679"/>
      <c r="D698" s="679"/>
      <c r="E698" s="680"/>
      <c r="F698" s="681"/>
      <c r="G698" s="680" t="e">
        <v>#N/A</v>
      </c>
      <c r="H698" s="3"/>
      <c r="I698" s="3"/>
      <c r="J698" s="3"/>
      <c r="L698" s="3"/>
      <c r="M698" s="3"/>
      <c r="N698" s="3"/>
      <c r="O698" s="3"/>
      <c r="P698" s="3"/>
      <c r="Q698" s="3"/>
      <c r="R698" s="3"/>
      <c r="S698" s="3"/>
      <c r="T698" s="3"/>
      <c r="U698" s="3"/>
      <c r="V698" s="3"/>
      <c r="W698" s="3"/>
      <c r="X698" s="3"/>
      <c r="Y698" s="3"/>
      <c r="Z698" s="3"/>
      <c r="AA698" s="3"/>
      <c r="AB698" s="3"/>
      <c r="AC698" s="3"/>
    </row>
    <row r="699" spans="1:29" ht="15" customHeight="1">
      <c r="A699" s="677"/>
      <c r="B699" s="688"/>
      <c r="C699" s="679"/>
      <c r="D699" s="679"/>
      <c r="E699" s="680"/>
      <c r="F699" s="681"/>
      <c r="G699" s="680" t="e">
        <v>#N/A</v>
      </c>
      <c r="H699" s="3"/>
    </row>
    <row r="700" spans="1:29" ht="15" customHeight="1">
      <c r="A700" s="677"/>
      <c r="B700" s="688"/>
      <c r="C700" s="679"/>
      <c r="D700" s="679"/>
      <c r="E700" s="680"/>
      <c r="F700" s="681"/>
      <c r="G700" s="680" t="e">
        <v>#N/A</v>
      </c>
      <c r="H700" s="3"/>
    </row>
    <row r="701" spans="1:29" ht="15" customHeight="1">
      <c r="A701" s="689"/>
      <c r="B701" s="678"/>
      <c r="C701" s="679"/>
      <c r="D701" s="679"/>
      <c r="E701" s="680"/>
      <c r="F701" s="681"/>
      <c r="G701" s="680" t="e">
        <v>#N/A</v>
      </c>
      <c r="H701" s="3"/>
    </row>
    <row r="702" spans="1:29" ht="15" customHeight="1">
      <c r="A702" s="677"/>
      <c r="B702" s="688"/>
      <c r="C702" s="679"/>
      <c r="D702" s="679"/>
      <c r="E702" s="680"/>
      <c r="F702" s="681"/>
      <c r="G702" s="680" t="e">
        <v>#N/A</v>
      </c>
      <c r="H702" s="3"/>
    </row>
    <row r="703" spans="1:29" ht="15" customHeight="1">
      <c r="A703" s="678"/>
      <c r="B703" s="678"/>
      <c r="C703" s="679"/>
      <c r="D703" s="679"/>
      <c r="E703" s="680"/>
      <c r="F703" s="681"/>
      <c r="G703" s="680" t="e">
        <v>#N/A</v>
      </c>
      <c r="H703" s="3"/>
    </row>
    <row r="704" spans="1:29" ht="15" customHeight="1">
      <c r="A704" s="688"/>
      <c r="B704" s="688"/>
      <c r="C704" s="679"/>
      <c r="D704" s="679"/>
      <c r="E704" s="680"/>
      <c r="F704" s="681"/>
      <c r="G704" s="680" t="e">
        <v>#N/A</v>
      </c>
      <c r="H704" s="3"/>
    </row>
    <row r="705" spans="1:29" ht="15" customHeight="1">
      <c r="A705" s="689"/>
      <c r="B705" s="678"/>
      <c r="C705" s="679"/>
      <c r="D705" s="679"/>
      <c r="E705" s="680"/>
      <c r="F705" s="681"/>
      <c r="G705" s="680" t="e">
        <v>#N/A</v>
      </c>
      <c r="H705" s="3"/>
    </row>
    <row r="706" spans="1:29" ht="15" customHeight="1">
      <c r="A706" s="688"/>
      <c r="B706" s="688"/>
      <c r="C706" s="679"/>
      <c r="D706" s="679"/>
      <c r="E706" s="680"/>
      <c r="F706" s="681"/>
      <c r="G706" s="680" t="e">
        <v>#N/A</v>
      </c>
      <c r="H706" s="3"/>
    </row>
    <row r="707" spans="1:29" ht="15" customHeight="1">
      <c r="A707" s="689"/>
      <c r="B707" s="678"/>
      <c r="C707" s="679"/>
      <c r="D707" s="679"/>
      <c r="E707" s="680"/>
      <c r="F707" s="681"/>
      <c r="G707" s="680" t="e">
        <v>#N/A</v>
      </c>
      <c r="H707" s="3"/>
    </row>
    <row r="708" spans="1:29" ht="15" customHeight="1">
      <c r="A708" s="688"/>
      <c r="B708" s="688"/>
      <c r="C708" s="679"/>
      <c r="D708" s="679"/>
      <c r="E708" s="680"/>
      <c r="F708" s="681"/>
      <c r="G708" s="680" t="e">
        <v>#N/A</v>
      </c>
      <c r="H708" s="3"/>
    </row>
    <row r="709" spans="1:29" ht="15" customHeight="1">
      <c r="A709" s="677"/>
      <c r="B709" s="688"/>
      <c r="C709" s="679"/>
      <c r="D709" s="679"/>
      <c r="E709" s="680"/>
      <c r="F709" s="681"/>
      <c r="G709" s="680" t="e">
        <v>#N/A</v>
      </c>
      <c r="H709" s="3"/>
    </row>
    <row r="710" spans="1:29" ht="15" customHeight="1">
      <c r="A710" s="677"/>
      <c r="B710" s="688"/>
      <c r="C710" s="679"/>
      <c r="D710" s="679"/>
      <c r="E710" s="680"/>
      <c r="F710" s="681"/>
      <c r="G710" s="680" t="e">
        <v>#N/A</v>
      </c>
      <c r="H710" s="3"/>
    </row>
    <row r="711" spans="1:29" ht="15" customHeight="1">
      <c r="A711" s="677"/>
      <c r="B711" s="688"/>
      <c r="C711" s="679"/>
      <c r="D711" s="679"/>
      <c r="E711" s="680"/>
      <c r="F711" s="681"/>
      <c r="G711" s="680" t="e">
        <v>#N/A</v>
      </c>
      <c r="H711" s="3"/>
      <c r="I711" s="3"/>
      <c r="J711" s="3"/>
      <c r="L711" s="3"/>
      <c r="M711" s="3"/>
      <c r="N711" s="3"/>
      <c r="O711" s="3"/>
      <c r="P711" s="3"/>
      <c r="Q711" s="3"/>
      <c r="R711" s="3"/>
      <c r="S711" s="3"/>
      <c r="T711" s="3"/>
      <c r="U711" s="3"/>
      <c r="V711" s="3"/>
      <c r="W711" s="3"/>
      <c r="X711" s="3"/>
      <c r="Y711" s="3"/>
      <c r="Z711" s="3"/>
      <c r="AA711" s="3"/>
      <c r="AB711" s="3"/>
      <c r="AC711" s="3"/>
    </row>
    <row r="712" spans="1:29" ht="15" customHeight="1">
      <c r="A712" s="688"/>
      <c r="B712" s="688"/>
      <c r="C712" s="679"/>
      <c r="D712" s="679"/>
      <c r="E712" s="680"/>
      <c r="F712" s="681"/>
      <c r="G712" s="680" t="e">
        <v>#N/A</v>
      </c>
      <c r="H712" s="3"/>
    </row>
    <row r="713" spans="1:29" ht="15" customHeight="1">
      <c r="A713" s="688"/>
      <c r="B713" s="688"/>
      <c r="C713" s="679"/>
      <c r="D713" s="679"/>
      <c r="E713" s="680"/>
      <c r="F713" s="681"/>
      <c r="G713" s="680" t="e">
        <v>#N/A</v>
      </c>
      <c r="H713" s="3"/>
      <c r="I713" s="3"/>
      <c r="J713" s="3"/>
      <c r="L713" s="3"/>
      <c r="M713" s="3"/>
      <c r="N713" s="3"/>
      <c r="O713" s="3"/>
      <c r="P713" s="3"/>
      <c r="Q713" s="3"/>
      <c r="R713" s="3"/>
      <c r="S713" s="3"/>
      <c r="T713" s="3"/>
      <c r="U713" s="3"/>
      <c r="V713" s="3"/>
      <c r="W713" s="3"/>
      <c r="X713" s="3"/>
      <c r="Y713" s="3"/>
      <c r="Z713" s="3"/>
      <c r="AA713" s="3"/>
      <c r="AB713" s="3"/>
      <c r="AC713" s="3"/>
    </row>
    <row r="714" spans="1:29" ht="15" customHeight="1">
      <c r="A714" s="677"/>
      <c r="B714" s="688"/>
      <c r="C714" s="679"/>
      <c r="D714" s="679"/>
      <c r="E714" s="680"/>
      <c r="F714" s="681"/>
      <c r="G714" s="680" t="e">
        <v>#N/A</v>
      </c>
      <c r="H714" s="3"/>
      <c r="K714" s="3"/>
    </row>
    <row r="715" spans="1:29" ht="15" customHeight="1">
      <c r="A715" s="677"/>
      <c r="B715" s="688"/>
      <c r="C715" s="679"/>
      <c r="D715" s="679"/>
      <c r="E715" s="680"/>
      <c r="F715" s="681"/>
      <c r="G715" s="680" t="e">
        <v>#N/A</v>
      </c>
      <c r="H715" s="3"/>
    </row>
    <row r="716" spans="1:29" ht="15" customHeight="1">
      <c r="A716" s="677"/>
      <c r="B716" s="688"/>
      <c r="C716" s="679"/>
      <c r="D716" s="679"/>
      <c r="E716" s="680"/>
      <c r="F716" s="681"/>
      <c r="G716" s="680" t="e">
        <v>#N/A</v>
      </c>
      <c r="H716" s="3"/>
    </row>
    <row r="717" spans="1:29" ht="15" customHeight="1">
      <c r="A717" s="677"/>
      <c r="B717" s="688"/>
      <c r="C717" s="679"/>
      <c r="D717" s="679"/>
      <c r="E717" s="680"/>
      <c r="F717" s="681"/>
      <c r="G717" s="680" t="e">
        <v>#N/A</v>
      </c>
      <c r="H717" s="3"/>
    </row>
    <row r="718" spans="1:29" ht="15" customHeight="1">
      <c r="A718" s="677"/>
      <c r="B718" s="688"/>
      <c r="C718" s="679"/>
      <c r="D718" s="679"/>
      <c r="E718" s="680"/>
      <c r="F718" s="681"/>
      <c r="G718" s="680" t="e">
        <v>#N/A</v>
      </c>
      <c r="H718" s="3"/>
    </row>
    <row r="719" spans="1:29" ht="15" customHeight="1">
      <c r="A719" s="677"/>
      <c r="B719" s="688"/>
      <c r="C719" s="679"/>
      <c r="D719" s="679"/>
      <c r="E719" s="680"/>
      <c r="F719" s="681"/>
      <c r="G719" s="680" t="e">
        <v>#N/A</v>
      </c>
      <c r="H719" s="3"/>
    </row>
    <row r="720" spans="1:29" ht="15" customHeight="1">
      <c r="A720" s="677"/>
      <c r="B720" s="688"/>
      <c r="C720" s="679"/>
      <c r="D720" s="679"/>
      <c r="E720" s="680"/>
      <c r="F720" s="681"/>
      <c r="G720" s="680" t="e">
        <v>#N/A</v>
      </c>
      <c r="H720" s="3"/>
    </row>
    <row r="721" spans="1:8" ht="15" customHeight="1">
      <c r="A721" s="677"/>
      <c r="B721" s="688"/>
      <c r="C721" s="679"/>
      <c r="D721" s="679"/>
      <c r="E721" s="680"/>
      <c r="F721" s="681"/>
      <c r="G721" s="680" t="e">
        <v>#N/A</v>
      </c>
      <c r="H721" s="3"/>
    </row>
    <row r="722" spans="1:8" ht="15" customHeight="1">
      <c r="A722" s="677"/>
      <c r="B722" s="688"/>
      <c r="C722" s="679"/>
      <c r="D722" s="679"/>
      <c r="E722" s="680"/>
      <c r="F722" s="681"/>
      <c r="G722" s="680" t="e">
        <v>#N/A</v>
      </c>
      <c r="H722" s="3"/>
    </row>
    <row r="723" spans="1:8" ht="15" customHeight="1">
      <c r="A723" s="677"/>
      <c r="B723" s="688"/>
      <c r="C723" s="679"/>
      <c r="D723" s="679"/>
      <c r="E723" s="680"/>
      <c r="F723" s="681"/>
      <c r="G723" s="680" t="e">
        <v>#N/A</v>
      </c>
      <c r="H723" s="3"/>
    </row>
    <row r="724" spans="1:8" ht="15" customHeight="1">
      <c r="A724" s="677"/>
      <c r="B724" s="688"/>
      <c r="C724" s="679"/>
      <c r="D724" s="679"/>
      <c r="E724" s="680"/>
      <c r="F724" s="681"/>
      <c r="G724" s="680" t="e">
        <v>#N/A</v>
      </c>
      <c r="H724" s="3"/>
    </row>
    <row r="725" spans="1:8" ht="15" customHeight="1">
      <c r="A725" s="702"/>
      <c r="B725" s="701"/>
      <c r="C725" s="693"/>
      <c r="D725" s="679"/>
      <c r="E725" s="680"/>
      <c r="F725" s="681"/>
      <c r="G725" s="680" t="e">
        <v>#N/A</v>
      </c>
      <c r="H725" s="3"/>
    </row>
    <row r="726" spans="1:8" ht="15" customHeight="1">
      <c r="A726" s="677"/>
      <c r="B726" s="688"/>
      <c r="C726" s="679"/>
      <c r="D726" s="679"/>
      <c r="E726" s="680"/>
      <c r="F726" s="681"/>
      <c r="G726" s="680" t="e">
        <v>#N/A</v>
      </c>
      <c r="H726" s="3"/>
    </row>
    <row r="727" spans="1:8" ht="15" customHeight="1">
      <c r="A727" s="677"/>
      <c r="B727" s="688"/>
      <c r="C727" s="679"/>
      <c r="D727" s="679"/>
      <c r="E727" s="680"/>
      <c r="F727" s="681"/>
      <c r="G727" s="680" t="e">
        <v>#N/A</v>
      </c>
      <c r="H727" s="3"/>
    </row>
    <row r="728" spans="1:8" ht="15" customHeight="1">
      <c r="A728" s="677"/>
      <c r="B728" s="688"/>
      <c r="C728" s="679"/>
      <c r="D728" s="679"/>
      <c r="E728" s="680"/>
      <c r="F728" s="681"/>
      <c r="G728" s="680" t="e">
        <v>#N/A</v>
      </c>
      <c r="H728" s="3"/>
    </row>
    <row r="729" spans="1:8" ht="15" customHeight="1">
      <c r="A729" s="677"/>
      <c r="B729" s="688"/>
      <c r="C729" s="679"/>
      <c r="D729" s="679"/>
      <c r="E729" s="680"/>
      <c r="F729" s="681"/>
      <c r="G729" s="680" t="e">
        <v>#N/A</v>
      </c>
      <c r="H729" s="3"/>
    </row>
    <row r="730" spans="1:8" ht="15" customHeight="1">
      <c r="A730" s="677"/>
      <c r="B730" s="688"/>
      <c r="C730" s="679"/>
      <c r="D730" s="679"/>
      <c r="E730" s="680"/>
      <c r="F730" s="681"/>
      <c r="G730" s="680" t="e">
        <v>#N/A</v>
      </c>
      <c r="H730" s="3"/>
    </row>
    <row r="731" spans="1:8" ht="15" customHeight="1">
      <c r="A731" s="677"/>
      <c r="B731" s="688"/>
      <c r="C731" s="679"/>
      <c r="D731" s="679"/>
      <c r="E731" s="680"/>
      <c r="F731" s="681"/>
      <c r="G731" s="680" t="e">
        <v>#N/A</v>
      </c>
      <c r="H731" s="3"/>
    </row>
    <row r="732" spans="1:8" ht="15" customHeight="1">
      <c r="A732" s="677"/>
      <c r="B732" s="688"/>
      <c r="C732" s="679"/>
      <c r="D732" s="679"/>
      <c r="E732" s="680"/>
      <c r="F732" s="681"/>
      <c r="G732" s="680" t="e">
        <v>#N/A</v>
      </c>
      <c r="H732" s="3"/>
    </row>
    <row r="733" spans="1:8" ht="15" customHeight="1">
      <c r="A733" s="677"/>
      <c r="B733" s="688"/>
      <c r="C733" s="679"/>
      <c r="D733" s="679"/>
      <c r="E733" s="680"/>
      <c r="F733" s="681"/>
      <c r="G733" s="680" t="e">
        <v>#N/A</v>
      </c>
      <c r="H733" s="3"/>
    </row>
    <row r="734" spans="1:8" ht="15" customHeight="1">
      <c r="A734" s="677"/>
      <c r="B734" s="688"/>
      <c r="C734" s="679"/>
      <c r="D734" s="679"/>
      <c r="E734" s="680"/>
      <c r="F734" s="681"/>
      <c r="G734" s="680" t="e">
        <v>#N/A</v>
      </c>
      <c r="H734" s="3"/>
    </row>
    <row r="735" spans="1:8" ht="15" customHeight="1">
      <c r="A735" s="702"/>
      <c r="B735" s="703"/>
      <c r="C735" s="679"/>
      <c r="D735" s="679"/>
      <c r="E735" s="680"/>
      <c r="F735" s="681"/>
      <c r="G735" s="680" t="e">
        <v>#N/A</v>
      </c>
      <c r="H735" s="3"/>
    </row>
    <row r="736" spans="1:8" ht="15" customHeight="1">
      <c r="A736" s="677"/>
      <c r="B736" s="685"/>
      <c r="C736" s="679"/>
      <c r="D736" s="679"/>
      <c r="E736" s="680"/>
      <c r="F736" s="681"/>
      <c r="G736" s="680" t="e">
        <v>#N/A</v>
      </c>
      <c r="H736" s="3"/>
    </row>
    <row r="737" spans="1:11" ht="15" customHeight="1">
      <c r="A737" s="677"/>
      <c r="B737" s="688"/>
      <c r="C737" s="679"/>
      <c r="D737" s="679"/>
      <c r="E737" s="680"/>
      <c r="F737" s="681"/>
      <c r="G737" s="680" t="e">
        <v>#N/A</v>
      </c>
      <c r="H737" s="3"/>
    </row>
    <row r="738" spans="1:11" ht="15" customHeight="1">
      <c r="A738" s="677"/>
      <c r="B738" s="688"/>
      <c r="C738" s="679"/>
      <c r="D738" s="679"/>
      <c r="E738" s="680"/>
      <c r="F738" s="681"/>
      <c r="G738" s="680" t="e">
        <v>#N/A</v>
      </c>
      <c r="H738" s="3"/>
    </row>
    <row r="739" spans="1:11" ht="15" customHeight="1">
      <c r="A739" s="677"/>
      <c r="B739" s="688"/>
      <c r="C739" s="679"/>
      <c r="D739" s="679"/>
      <c r="E739" s="680"/>
      <c r="F739" s="681"/>
      <c r="G739" s="680" t="e">
        <v>#N/A</v>
      </c>
      <c r="H739" s="3"/>
    </row>
    <row r="740" spans="1:11" ht="15" customHeight="1">
      <c r="A740" s="677"/>
      <c r="B740" s="688"/>
      <c r="C740" s="679"/>
      <c r="D740" s="679"/>
      <c r="E740" s="680"/>
      <c r="F740" s="681"/>
      <c r="G740" s="680" t="e">
        <v>#N/A</v>
      </c>
      <c r="H740" s="3"/>
    </row>
    <row r="741" spans="1:11" ht="15" customHeight="1">
      <c r="A741" s="677"/>
      <c r="B741" s="688"/>
      <c r="C741" s="679"/>
      <c r="D741" s="679"/>
      <c r="E741" s="680"/>
      <c r="F741" s="681"/>
      <c r="G741" s="680" t="e">
        <v>#N/A</v>
      </c>
      <c r="H741" s="3"/>
    </row>
    <row r="742" spans="1:11" ht="15" customHeight="1">
      <c r="A742" s="689"/>
      <c r="B742" s="678"/>
      <c r="C742" s="679"/>
      <c r="D742" s="679"/>
      <c r="E742" s="680"/>
      <c r="F742" s="681"/>
      <c r="G742" s="680" t="e">
        <v>#N/A</v>
      </c>
      <c r="H742" s="3"/>
    </row>
    <row r="743" spans="1:11" ht="15" customHeight="1">
      <c r="A743" s="677"/>
      <c r="B743" s="688"/>
      <c r="C743" s="679"/>
      <c r="D743" s="679"/>
      <c r="E743" s="680"/>
      <c r="F743" s="681"/>
      <c r="G743" s="680" t="e">
        <v>#N/A</v>
      </c>
      <c r="H743" s="3"/>
    </row>
    <row r="744" spans="1:11" ht="15" customHeight="1">
      <c r="A744" s="677"/>
      <c r="B744" s="688"/>
      <c r="C744" s="679"/>
      <c r="D744" s="679"/>
      <c r="E744" s="680"/>
      <c r="F744" s="681"/>
      <c r="G744" s="680" t="e">
        <v>#N/A</v>
      </c>
      <c r="H744" s="3"/>
    </row>
    <row r="745" spans="1:11" ht="15" customHeight="1">
      <c r="A745" s="677"/>
      <c r="B745" s="688"/>
      <c r="C745" s="679"/>
      <c r="D745" s="679"/>
      <c r="E745" s="680"/>
      <c r="F745" s="681"/>
      <c r="G745" s="680" t="e">
        <v>#N/A</v>
      </c>
      <c r="H745" s="3"/>
    </row>
    <row r="746" spans="1:11" ht="15" customHeight="1">
      <c r="A746" s="677"/>
      <c r="B746" s="688"/>
      <c r="C746" s="679"/>
      <c r="D746" s="679"/>
      <c r="E746" s="680"/>
      <c r="F746" s="681"/>
      <c r="G746" s="680" t="e">
        <v>#N/A</v>
      </c>
      <c r="H746" s="3"/>
    </row>
    <row r="747" spans="1:11" ht="15" customHeight="1">
      <c r="A747" s="677"/>
      <c r="B747" s="688"/>
      <c r="C747" s="679"/>
      <c r="D747" s="679"/>
      <c r="E747" s="680"/>
      <c r="F747" s="681"/>
      <c r="G747" s="680" t="e">
        <v>#N/A</v>
      </c>
      <c r="H747" s="3"/>
    </row>
    <row r="748" spans="1:11" ht="15" customHeight="1">
      <c r="A748" s="677"/>
      <c r="B748" s="688"/>
      <c r="C748" s="679"/>
      <c r="D748" s="679"/>
      <c r="E748" s="680"/>
      <c r="F748" s="681"/>
      <c r="G748" s="680" t="e">
        <v>#N/A</v>
      </c>
      <c r="H748" s="3"/>
    </row>
    <row r="749" spans="1:11" ht="15" customHeight="1">
      <c r="A749" s="677"/>
      <c r="B749" s="688"/>
      <c r="C749" s="679"/>
      <c r="D749" s="679"/>
      <c r="E749" s="680"/>
      <c r="F749" s="681"/>
      <c r="G749" s="680" t="e">
        <v>#N/A</v>
      </c>
      <c r="H749" s="3"/>
      <c r="K749" s="3"/>
    </row>
    <row r="750" spans="1:11" ht="15" customHeight="1">
      <c r="A750" s="677"/>
      <c r="B750" s="688"/>
      <c r="C750" s="679"/>
      <c r="D750" s="679"/>
      <c r="E750" s="680"/>
      <c r="F750" s="681"/>
      <c r="G750" s="680" t="e">
        <v>#N/A</v>
      </c>
      <c r="H750" s="3"/>
    </row>
    <row r="751" spans="1:11" ht="15" customHeight="1">
      <c r="A751" s="677"/>
      <c r="B751" s="701"/>
      <c r="C751" s="693"/>
      <c r="D751" s="679"/>
      <c r="E751" s="680"/>
      <c r="F751" s="681"/>
      <c r="G751" s="680" t="e">
        <v>#N/A</v>
      </c>
      <c r="H751" s="3"/>
    </row>
    <row r="752" spans="1:11" ht="15" customHeight="1">
      <c r="A752" s="677"/>
      <c r="B752" s="688"/>
      <c r="C752" s="679"/>
      <c r="D752" s="679"/>
      <c r="E752" s="680"/>
      <c r="F752" s="681"/>
      <c r="G752" s="680" t="e">
        <v>#N/A</v>
      </c>
      <c r="H752" s="3"/>
    </row>
    <row r="753" spans="1:11" ht="15" customHeight="1">
      <c r="A753" s="677"/>
      <c r="B753" s="688"/>
      <c r="C753" s="679"/>
      <c r="D753" s="679"/>
      <c r="E753" s="680"/>
      <c r="F753" s="681"/>
      <c r="G753" s="680" t="e">
        <v>#N/A</v>
      </c>
      <c r="H753" s="3"/>
    </row>
    <row r="754" spans="1:11" ht="15" customHeight="1">
      <c r="A754" s="677"/>
      <c r="B754" s="688"/>
      <c r="C754" s="679"/>
      <c r="D754" s="679"/>
      <c r="E754" s="680"/>
      <c r="F754" s="681"/>
      <c r="G754" s="680" t="e">
        <v>#N/A</v>
      </c>
      <c r="H754" s="3"/>
    </row>
    <row r="755" spans="1:11" ht="15" customHeight="1">
      <c r="A755" s="677"/>
      <c r="B755" s="688"/>
      <c r="C755" s="679"/>
      <c r="D755" s="679"/>
      <c r="E755" s="680"/>
      <c r="F755" s="681"/>
      <c r="G755" s="680" t="e">
        <v>#N/A</v>
      </c>
      <c r="H755" s="3"/>
    </row>
    <row r="756" spans="1:11" ht="15" customHeight="1">
      <c r="A756" s="677"/>
      <c r="B756" s="688"/>
      <c r="C756" s="679"/>
      <c r="D756" s="679"/>
      <c r="E756" s="680"/>
      <c r="F756" s="681"/>
      <c r="G756" s="680" t="e">
        <v>#N/A</v>
      </c>
      <c r="H756" s="3"/>
    </row>
    <row r="757" spans="1:11" ht="15" customHeight="1">
      <c r="A757" s="677"/>
      <c r="B757" s="688"/>
      <c r="C757" s="679"/>
      <c r="D757" s="679"/>
      <c r="E757" s="680"/>
      <c r="F757" s="681"/>
      <c r="G757" s="680" t="e">
        <v>#N/A</v>
      </c>
      <c r="H757" s="3"/>
    </row>
    <row r="758" spans="1:11" ht="15" customHeight="1">
      <c r="A758" s="677"/>
      <c r="B758" s="688"/>
      <c r="C758" s="679"/>
      <c r="D758" s="679"/>
      <c r="E758" s="680"/>
      <c r="F758" s="681"/>
      <c r="G758" s="680" t="e">
        <v>#N/A</v>
      </c>
      <c r="H758" s="3"/>
    </row>
    <row r="759" spans="1:11" ht="15" customHeight="1">
      <c r="A759" s="688"/>
      <c r="B759" s="688"/>
      <c r="C759" s="679"/>
      <c r="D759" s="679"/>
      <c r="E759" s="680"/>
      <c r="F759" s="681"/>
      <c r="G759" s="680" t="e">
        <v>#N/A</v>
      </c>
      <c r="H759" s="3"/>
    </row>
    <row r="760" spans="1:11" ht="15" customHeight="1">
      <c r="A760" s="677"/>
      <c r="B760" s="688"/>
      <c r="C760" s="679"/>
      <c r="D760" s="679"/>
      <c r="E760" s="680"/>
      <c r="F760" s="681"/>
      <c r="G760" s="680" t="e">
        <v>#N/A</v>
      </c>
      <c r="H760" s="3"/>
    </row>
    <row r="761" spans="1:11" ht="15" customHeight="1">
      <c r="A761" s="677"/>
      <c r="B761" s="688"/>
      <c r="C761" s="679"/>
      <c r="D761" s="679"/>
      <c r="E761" s="680"/>
      <c r="F761" s="681"/>
      <c r="G761" s="680" t="e">
        <v>#N/A</v>
      </c>
      <c r="H761" s="3"/>
    </row>
    <row r="762" spans="1:11" ht="15" customHeight="1">
      <c r="A762" s="677"/>
      <c r="B762" s="688"/>
      <c r="C762" s="679"/>
      <c r="D762" s="679"/>
      <c r="E762" s="680"/>
      <c r="F762" s="681"/>
      <c r="G762" s="680" t="e">
        <v>#N/A</v>
      </c>
      <c r="H762" s="3"/>
      <c r="K762" s="3"/>
    </row>
    <row r="763" spans="1:11" ht="15" customHeight="1">
      <c r="A763" s="677"/>
      <c r="B763" s="688"/>
      <c r="C763" s="679"/>
      <c r="D763" s="679"/>
      <c r="E763" s="680"/>
      <c r="F763" s="681"/>
      <c r="G763" s="680" t="e">
        <v>#N/A</v>
      </c>
      <c r="H763" s="3"/>
    </row>
    <row r="764" spans="1:11" ht="15" customHeight="1">
      <c r="A764" s="677"/>
      <c r="B764" s="688"/>
      <c r="C764" s="679"/>
      <c r="D764" s="679"/>
      <c r="E764" s="680"/>
      <c r="F764" s="681"/>
      <c r="G764" s="680" t="e">
        <v>#N/A</v>
      </c>
      <c r="H764" s="3"/>
      <c r="K764" s="3"/>
    </row>
    <row r="765" spans="1:11" ht="15" customHeight="1">
      <c r="A765" s="677"/>
      <c r="B765" s="688"/>
      <c r="C765" s="679"/>
      <c r="D765" s="679"/>
      <c r="E765" s="680"/>
      <c r="F765" s="681"/>
      <c r="G765" s="680" t="e">
        <v>#N/A</v>
      </c>
      <c r="H765" s="3"/>
    </row>
    <row r="766" spans="1:11" ht="15" customHeight="1">
      <c r="A766" s="677"/>
      <c r="B766" s="688"/>
      <c r="C766" s="679"/>
      <c r="D766" s="679"/>
      <c r="E766" s="680"/>
      <c r="F766" s="681"/>
      <c r="G766" s="680" t="e">
        <v>#N/A</v>
      </c>
      <c r="H766" s="3"/>
    </row>
    <row r="767" spans="1:11" ht="15" customHeight="1">
      <c r="A767" s="677"/>
      <c r="B767" s="688"/>
      <c r="C767" s="679"/>
      <c r="D767" s="679"/>
      <c r="E767" s="680"/>
      <c r="F767" s="681"/>
      <c r="G767" s="680" t="e">
        <v>#N/A</v>
      </c>
      <c r="H767" s="3"/>
    </row>
    <row r="768" spans="1:11" ht="15" customHeight="1">
      <c r="A768" s="677"/>
      <c r="B768" s="688"/>
      <c r="C768" s="679"/>
      <c r="D768" s="679"/>
      <c r="E768" s="680"/>
      <c r="F768" s="681"/>
      <c r="G768" s="680" t="e">
        <v>#N/A</v>
      </c>
      <c r="H768" s="3"/>
    </row>
    <row r="769" spans="1:29" ht="15" customHeight="1">
      <c r="A769" s="677"/>
      <c r="B769" s="688"/>
      <c r="C769" s="679"/>
      <c r="D769" s="679"/>
      <c r="E769" s="680"/>
      <c r="F769" s="681"/>
      <c r="G769" s="680" t="e">
        <v>#N/A</v>
      </c>
      <c r="H769" s="3"/>
    </row>
    <row r="770" spans="1:29" ht="15" customHeight="1">
      <c r="A770" s="677"/>
      <c r="B770" s="688"/>
      <c r="C770" s="679"/>
      <c r="D770" s="679"/>
      <c r="E770" s="680"/>
      <c r="F770" s="681"/>
      <c r="G770" s="680" t="e">
        <v>#N/A</v>
      </c>
      <c r="H770" s="3"/>
    </row>
    <row r="771" spans="1:29" ht="15" customHeight="1">
      <c r="A771" s="677"/>
      <c r="B771" s="688"/>
      <c r="C771" s="679"/>
      <c r="D771" s="679"/>
      <c r="E771" s="680"/>
      <c r="F771" s="681"/>
      <c r="G771" s="680" t="e">
        <v>#N/A</v>
      </c>
      <c r="H771" s="3"/>
      <c r="I771" s="3"/>
      <c r="J771" s="3"/>
      <c r="L771" s="3"/>
      <c r="M771" s="3"/>
      <c r="N771" s="3"/>
      <c r="O771" s="3"/>
      <c r="P771" s="3"/>
      <c r="Q771" s="3"/>
      <c r="R771" s="3"/>
      <c r="S771" s="3"/>
      <c r="T771" s="3"/>
      <c r="U771" s="3"/>
      <c r="V771" s="3"/>
      <c r="W771" s="3"/>
      <c r="X771" s="3"/>
      <c r="Y771" s="3"/>
      <c r="Z771" s="3"/>
      <c r="AA771" s="3"/>
      <c r="AB771" s="3"/>
      <c r="AC771" s="3"/>
    </row>
    <row r="772" spans="1:29" ht="15" customHeight="1">
      <c r="A772" s="677"/>
      <c r="B772" s="688"/>
      <c r="C772" s="679"/>
      <c r="D772" s="679"/>
      <c r="E772" s="680"/>
      <c r="F772" s="681"/>
      <c r="G772" s="680" t="e">
        <v>#N/A</v>
      </c>
      <c r="H772" s="3"/>
    </row>
    <row r="773" spans="1:29" ht="15" customHeight="1">
      <c r="A773" s="677"/>
      <c r="B773" s="688"/>
      <c r="C773" s="679"/>
      <c r="D773" s="679"/>
      <c r="E773" s="680"/>
      <c r="F773" s="681"/>
      <c r="G773" s="680" t="e">
        <v>#N/A</v>
      </c>
      <c r="H773" s="3"/>
    </row>
    <row r="774" spans="1:29" ht="15" customHeight="1">
      <c r="A774" s="677"/>
      <c r="B774" s="688"/>
      <c r="C774" s="679"/>
      <c r="D774" s="679"/>
      <c r="E774" s="680"/>
      <c r="F774" s="681"/>
      <c r="G774" s="680" t="e">
        <v>#N/A</v>
      </c>
      <c r="H774" s="3"/>
    </row>
    <row r="775" spans="1:29" ht="15" customHeight="1">
      <c r="A775" s="677"/>
      <c r="B775" s="688"/>
      <c r="C775" s="679"/>
      <c r="D775" s="679"/>
      <c r="E775" s="680"/>
      <c r="F775" s="681"/>
      <c r="G775" s="680" t="e">
        <v>#N/A</v>
      </c>
      <c r="H775" s="3"/>
    </row>
    <row r="776" spans="1:29" ht="15" customHeight="1">
      <c r="A776" s="677"/>
      <c r="B776" s="688"/>
      <c r="C776" s="679"/>
      <c r="D776" s="679"/>
      <c r="E776" s="680"/>
      <c r="F776" s="681"/>
      <c r="G776" s="680" t="e">
        <v>#N/A</v>
      </c>
      <c r="H776" s="3"/>
    </row>
    <row r="777" spans="1:29" ht="15" customHeight="1">
      <c r="A777" s="677"/>
      <c r="B777" s="688"/>
      <c r="C777" s="679"/>
      <c r="D777" s="679"/>
      <c r="E777" s="680"/>
      <c r="F777" s="681"/>
      <c r="G777" s="680" t="e">
        <v>#N/A</v>
      </c>
      <c r="H777" s="3"/>
    </row>
    <row r="778" spans="1:29" ht="15" customHeight="1">
      <c r="A778" s="677"/>
      <c r="B778" s="688"/>
      <c r="C778" s="679"/>
      <c r="D778" s="679"/>
      <c r="E778" s="680"/>
      <c r="F778" s="681"/>
      <c r="G778" s="680" t="e">
        <v>#N/A</v>
      </c>
      <c r="H778" s="3"/>
    </row>
    <row r="779" spans="1:29" ht="15" customHeight="1">
      <c r="A779" s="677"/>
      <c r="B779" s="688"/>
      <c r="C779" s="679"/>
      <c r="D779" s="679"/>
      <c r="E779" s="680"/>
      <c r="F779" s="681"/>
      <c r="G779" s="680" t="e">
        <v>#N/A</v>
      </c>
      <c r="H779" s="3"/>
    </row>
    <row r="780" spans="1:29" ht="15" customHeight="1">
      <c r="A780" s="677"/>
      <c r="B780" s="688"/>
      <c r="C780" s="679"/>
      <c r="D780" s="679"/>
      <c r="E780" s="680"/>
      <c r="F780" s="681"/>
      <c r="G780" s="680" t="e">
        <v>#N/A</v>
      </c>
      <c r="H780" s="3"/>
    </row>
    <row r="781" spans="1:29" ht="15" customHeight="1">
      <c r="A781" s="677"/>
      <c r="B781" s="688"/>
      <c r="C781" s="679"/>
      <c r="D781" s="679"/>
      <c r="E781" s="680"/>
      <c r="F781" s="681"/>
      <c r="G781" s="680" t="e">
        <v>#N/A</v>
      </c>
      <c r="H781" s="3"/>
    </row>
    <row r="782" spans="1:29" ht="15" customHeight="1">
      <c r="A782" s="677"/>
      <c r="B782" s="688"/>
      <c r="C782" s="679"/>
      <c r="D782" s="679"/>
      <c r="E782" s="680"/>
      <c r="F782" s="681"/>
      <c r="G782" s="680" t="e">
        <v>#N/A</v>
      </c>
      <c r="H782" s="3"/>
    </row>
    <row r="783" spans="1:29" ht="15" customHeight="1">
      <c r="A783" s="677"/>
      <c r="B783" s="688"/>
      <c r="C783" s="679"/>
      <c r="D783" s="679"/>
      <c r="E783" s="680"/>
      <c r="F783" s="681"/>
      <c r="G783" s="680" t="e">
        <v>#N/A</v>
      </c>
      <c r="H783" s="3"/>
    </row>
    <row r="784" spans="1:29" ht="15" customHeight="1">
      <c r="A784" s="677"/>
      <c r="B784" s="688"/>
      <c r="C784" s="679"/>
      <c r="D784" s="679"/>
      <c r="E784" s="680"/>
      <c r="F784" s="681"/>
      <c r="G784" s="680" t="e">
        <v>#N/A</v>
      </c>
      <c r="H784" s="3"/>
    </row>
    <row r="785" spans="1:8" ht="15" customHeight="1">
      <c r="A785" s="677"/>
      <c r="B785" s="688"/>
      <c r="C785" s="679"/>
      <c r="D785" s="679"/>
      <c r="E785" s="680"/>
      <c r="F785" s="681"/>
      <c r="G785" s="680" t="e">
        <v>#N/A</v>
      </c>
      <c r="H785" s="3"/>
    </row>
    <row r="786" spans="1:8" ht="15" customHeight="1">
      <c r="A786" s="677"/>
      <c r="B786" s="688"/>
      <c r="C786" s="679"/>
      <c r="D786" s="679"/>
      <c r="E786" s="680"/>
      <c r="F786" s="681"/>
      <c r="G786" s="680" t="e">
        <v>#N/A</v>
      </c>
      <c r="H786" s="3"/>
    </row>
    <row r="787" spans="1:8" ht="15" customHeight="1">
      <c r="A787" s="677"/>
      <c r="B787" s="688"/>
      <c r="C787" s="679"/>
      <c r="D787" s="679"/>
      <c r="E787" s="680"/>
      <c r="F787" s="681"/>
      <c r="G787" s="680" t="e">
        <v>#N/A</v>
      </c>
      <c r="H787" s="3"/>
    </row>
    <row r="788" spans="1:8" ht="15" customHeight="1">
      <c r="A788" s="677"/>
      <c r="B788" s="688"/>
      <c r="C788" s="679"/>
      <c r="D788" s="679"/>
      <c r="E788" s="680"/>
      <c r="F788" s="681"/>
      <c r="G788" s="680" t="e">
        <v>#N/A</v>
      </c>
      <c r="H788" s="3"/>
    </row>
    <row r="789" spans="1:8" ht="15" customHeight="1">
      <c r="A789" s="677"/>
      <c r="B789" s="688"/>
      <c r="C789" s="679"/>
      <c r="D789" s="679"/>
      <c r="E789" s="680"/>
      <c r="F789" s="681"/>
      <c r="G789" s="680" t="e">
        <v>#N/A</v>
      </c>
      <c r="H789" s="3"/>
    </row>
    <row r="790" spans="1:8" ht="15" customHeight="1">
      <c r="A790" s="677"/>
      <c r="B790" s="688"/>
      <c r="C790" s="679"/>
      <c r="D790" s="679"/>
      <c r="E790" s="680"/>
      <c r="F790" s="681"/>
      <c r="G790" s="680" t="e">
        <v>#N/A</v>
      </c>
      <c r="H790" s="3"/>
    </row>
    <row r="791" spans="1:8" ht="15" customHeight="1">
      <c r="A791" s="677"/>
      <c r="B791" s="688"/>
      <c r="C791" s="679"/>
      <c r="D791" s="679"/>
      <c r="E791" s="680"/>
      <c r="F791" s="681"/>
      <c r="G791" s="680" t="e">
        <v>#N/A</v>
      </c>
      <c r="H791" s="3"/>
    </row>
    <row r="792" spans="1:8" ht="15" customHeight="1">
      <c r="A792" s="677"/>
      <c r="B792" s="688"/>
      <c r="C792" s="679"/>
      <c r="D792" s="679"/>
      <c r="E792" s="680"/>
      <c r="F792" s="681"/>
      <c r="G792" s="680" t="e">
        <v>#N/A</v>
      </c>
      <c r="H792" s="3"/>
    </row>
    <row r="793" spans="1:8" ht="15" customHeight="1">
      <c r="A793" s="677"/>
      <c r="B793" s="688"/>
      <c r="C793" s="679"/>
      <c r="D793" s="679"/>
      <c r="E793" s="680"/>
      <c r="F793" s="681"/>
      <c r="G793" s="680" t="e">
        <v>#N/A</v>
      </c>
      <c r="H793" s="3"/>
    </row>
    <row r="794" spans="1:8" ht="15" customHeight="1">
      <c r="A794" s="677"/>
      <c r="B794" s="688"/>
      <c r="C794" s="679"/>
      <c r="D794" s="679"/>
      <c r="E794" s="680"/>
      <c r="F794" s="681"/>
      <c r="G794" s="680" t="e">
        <v>#N/A</v>
      </c>
      <c r="H794" s="3"/>
    </row>
    <row r="795" spans="1:8" ht="15" customHeight="1">
      <c r="A795" s="677"/>
      <c r="B795" s="688"/>
      <c r="C795" s="679"/>
      <c r="D795" s="679"/>
      <c r="E795" s="680"/>
      <c r="F795" s="681"/>
      <c r="G795" s="680" t="e">
        <v>#N/A</v>
      </c>
      <c r="H795" s="3"/>
    </row>
    <row r="796" spans="1:8" ht="15" customHeight="1">
      <c r="A796" s="688"/>
      <c r="B796" s="688"/>
      <c r="C796" s="679"/>
      <c r="D796" s="679"/>
      <c r="E796" s="680"/>
      <c r="F796" s="681"/>
      <c r="G796" s="680" t="e">
        <v>#N/A</v>
      </c>
      <c r="H796" s="3"/>
    </row>
    <row r="797" spans="1:8" ht="15" customHeight="1">
      <c r="A797" s="677"/>
      <c r="B797" s="688"/>
      <c r="C797" s="679"/>
      <c r="D797" s="679"/>
      <c r="E797" s="680"/>
      <c r="F797" s="681"/>
      <c r="G797" s="680" t="e">
        <v>#N/A</v>
      </c>
      <c r="H797" s="3"/>
    </row>
    <row r="798" spans="1:8" ht="15" customHeight="1">
      <c r="A798" s="677"/>
      <c r="B798" s="688"/>
      <c r="C798" s="679"/>
      <c r="D798" s="679"/>
      <c r="E798" s="680"/>
      <c r="F798" s="681"/>
      <c r="G798" s="680" t="e">
        <v>#N/A</v>
      </c>
      <c r="H798" s="3"/>
    </row>
    <row r="799" spans="1:8" ht="15" customHeight="1">
      <c r="A799" s="677"/>
      <c r="B799" s="688"/>
      <c r="C799" s="679"/>
      <c r="D799" s="679"/>
      <c r="E799" s="680"/>
      <c r="F799" s="681"/>
      <c r="G799" s="680" t="e">
        <v>#N/A</v>
      </c>
      <c r="H799" s="3"/>
    </row>
    <row r="800" spans="1:8" ht="15" customHeight="1">
      <c r="A800" s="677"/>
      <c r="B800" s="688"/>
      <c r="C800" s="679"/>
      <c r="D800" s="679"/>
      <c r="E800" s="680"/>
      <c r="F800" s="681"/>
      <c r="G800" s="680" t="e">
        <v>#N/A</v>
      </c>
      <c r="H800" s="3"/>
    </row>
    <row r="801" spans="1:29" ht="15" customHeight="1">
      <c r="A801" s="677"/>
      <c r="B801" s="688"/>
      <c r="C801" s="679"/>
      <c r="D801" s="679"/>
      <c r="E801" s="680"/>
      <c r="F801" s="681"/>
      <c r="G801" s="680" t="e">
        <v>#N/A</v>
      </c>
      <c r="H801" s="3"/>
    </row>
    <row r="802" spans="1:29" ht="15" customHeight="1">
      <c r="A802" s="677"/>
      <c r="B802" s="688"/>
      <c r="C802" s="679"/>
      <c r="D802" s="679"/>
      <c r="E802" s="680"/>
      <c r="F802" s="681"/>
      <c r="G802" s="680" t="e">
        <v>#N/A</v>
      </c>
      <c r="H802" s="3"/>
    </row>
    <row r="803" spans="1:29" ht="15" customHeight="1">
      <c r="A803" s="677"/>
      <c r="B803" s="688"/>
      <c r="C803" s="679"/>
      <c r="D803" s="679"/>
      <c r="E803" s="680"/>
      <c r="F803" s="681"/>
      <c r="G803" s="680" t="e">
        <v>#N/A</v>
      </c>
      <c r="H803" s="3"/>
    </row>
    <row r="804" spans="1:29" ht="15" customHeight="1">
      <c r="A804" s="677"/>
      <c r="B804" s="688"/>
      <c r="C804" s="679"/>
      <c r="D804" s="679"/>
      <c r="E804" s="680"/>
      <c r="F804" s="681"/>
      <c r="G804" s="680" t="e">
        <v>#N/A</v>
      </c>
      <c r="H804" s="3"/>
    </row>
    <row r="805" spans="1:29" ht="15" customHeight="1">
      <c r="A805" s="677"/>
      <c r="B805" s="688"/>
      <c r="C805" s="679"/>
      <c r="D805" s="679"/>
      <c r="E805" s="680"/>
      <c r="F805" s="681"/>
      <c r="G805" s="680" t="e">
        <v>#N/A</v>
      </c>
      <c r="H805" s="3"/>
    </row>
    <row r="806" spans="1:29" ht="15" customHeight="1">
      <c r="A806" s="677"/>
      <c r="B806" s="688"/>
      <c r="C806" s="679"/>
      <c r="D806" s="679"/>
      <c r="E806" s="680"/>
      <c r="F806" s="681"/>
      <c r="G806" s="680" t="e">
        <v>#N/A</v>
      </c>
      <c r="H806" s="3"/>
    </row>
    <row r="807" spans="1:29" ht="15" customHeight="1">
      <c r="A807" s="677"/>
      <c r="B807" s="688"/>
      <c r="C807" s="679"/>
      <c r="D807" s="679"/>
      <c r="E807" s="680"/>
      <c r="F807" s="681"/>
      <c r="G807" s="680" t="e">
        <v>#N/A</v>
      </c>
      <c r="H807" s="3"/>
      <c r="I807" s="3"/>
      <c r="J807" s="3"/>
      <c r="L807" s="3"/>
      <c r="M807" s="3"/>
      <c r="N807" s="3"/>
      <c r="O807" s="3"/>
      <c r="P807" s="3"/>
      <c r="Q807" s="3"/>
      <c r="R807" s="3"/>
      <c r="S807" s="3"/>
      <c r="T807" s="3"/>
      <c r="U807" s="3"/>
      <c r="V807" s="3"/>
      <c r="W807" s="3"/>
      <c r="X807" s="3"/>
      <c r="Y807" s="3"/>
      <c r="Z807" s="3"/>
      <c r="AA807" s="3"/>
      <c r="AB807" s="3"/>
      <c r="AC807" s="3"/>
    </row>
    <row r="808" spans="1:29" ht="15" customHeight="1">
      <c r="A808" s="677"/>
      <c r="B808" s="688"/>
      <c r="C808" s="679"/>
      <c r="D808" s="679"/>
      <c r="E808" s="680"/>
      <c r="F808" s="681"/>
      <c r="G808" s="680" t="e">
        <v>#N/A</v>
      </c>
      <c r="H808" s="3"/>
    </row>
    <row r="809" spans="1:29" ht="15" customHeight="1">
      <c r="A809" s="677"/>
      <c r="B809" s="688"/>
      <c r="C809" s="679"/>
      <c r="D809" s="679"/>
      <c r="E809" s="680"/>
      <c r="F809" s="681"/>
      <c r="G809" s="680" t="e">
        <v>#N/A</v>
      </c>
      <c r="H809" s="3"/>
    </row>
    <row r="810" spans="1:29" ht="15" customHeight="1">
      <c r="A810" s="677"/>
      <c r="B810" s="688"/>
      <c r="C810" s="679"/>
      <c r="D810" s="679"/>
      <c r="E810" s="680"/>
      <c r="F810" s="681"/>
      <c r="G810" s="680" t="e">
        <v>#N/A</v>
      </c>
      <c r="H810" s="3"/>
    </row>
    <row r="811" spans="1:29" ht="15" customHeight="1">
      <c r="A811" s="677"/>
      <c r="B811" s="688"/>
      <c r="C811" s="679"/>
      <c r="D811" s="679"/>
      <c r="E811" s="680"/>
      <c r="F811" s="681"/>
      <c r="G811" s="680" t="e">
        <v>#N/A</v>
      </c>
      <c r="H811" s="3"/>
    </row>
    <row r="812" spans="1:29" ht="15" customHeight="1">
      <c r="A812" s="677"/>
      <c r="B812" s="688"/>
      <c r="C812" s="679"/>
      <c r="D812" s="679"/>
      <c r="E812" s="680"/>
      <c r="F812" s="681"/>
      <c r="G812" s="680" t="e">
        <v>#N/A</v>
      </c>
      <c r="H812" s="3"/>
    </row>
    <row r="813" spans="1:29" ht="15" customHeight="1">
      <c r="A813" s="677"/>
      <c r="B813" s="688"/>
      <c r="C813" s="679"/>
      <c r="D813" s="679"/>
      <c r="E813" s="680"/>
      <c r="F813" s="681"/>
      <c r="G813" s="680" t="e">
        <v>#N/A</v>
      </c>
      <c r="H813" s="3"/>
    </row>
    <row r="814" spans="1:29" ht="15" customHeight="1">
      <c r="A814" s="677"/>
      <c r="B814" s="688"/>
      <c r="C814" s="679"/>
      <c r="D814" s="679"/>
      <c r="E814" s="680"/>
      <c r="F814" s="681"/>
      <c r="G814" s="680" t="e">
        <v>#N/A</v>
      </c>
      <c r="H814" s="3"/>
      <c r="K814" s="3"/>
    </row>
    <row r="815" spans="1:29" ht="15" customHeight="1">
      <c r="A815" s="677"/>
      <c r="B815" s="688"/>
      <c r="C815" s="679"/>
      <c r="D815" s="679"/>
      <c r="E815" s="680"/>
      <c r="F815" s="681"/>
      <c r="G815" s="680" t="e">
        <v>#N/A</v>
      </c>
      <c r="H815" s="3"/>
    </row>
    <row r="816" spans="1:29" ht="15" customHeight="1">
      <c r="A816" s="677"/>
      <c r="B816" s="688"/>
      <c r="C816" s="679"/>
      <c r="D816" s="679"/>
      <c r="E816" s="680"/>
      <c r="F816" s="681"/>
      <c r="G816" s="680" t="e">
        <v>#N/A</v>
      </c>
      <c r="H816" s="3"/>
    </row>
    <row r="817" spans="1:29" ht="15" customHeight="1">
      <c r="A817" s="677"/>
      <c r="B817" s="688"/>
      <c r="C817" s="679"/>
      <c r="D817" s="679"/>
      <c r="E817" s="680"/>
      <c r="F817" s="681"/>
      <c r="G817" s="680" t="e">
        <v>#N/A</v>
      </c>
      <c r="H817" s="3"/>
    </row>
    <row r="818" spans="1:29" ht="15" customHeight="1">
      <c r="A818" s="677"/>
      <c r="B818" s="703"/>
      <c r="C818" s="679"/>
      <c r="D818" s="679"/>
      <c r="E818" s="680"/>
      <c r="F818" s="681"/>
      <c r="G818" s="680" t="e">
        <v>#N/A</v>
      </c>
      <c r="H818" s="3"/>
    </row>
    <row r="819" spans="1:29" ht="15" customHeight="1">
      <c r="A819" s="677"/>
      <c r="B819" s="688"/>
      <c r="C819" s="679"/>
      <c r="D819" s="679"/>
      <c r="E819" s="680"/>
      <c r="F819" s="681"/>
      <c r="G819" s="680" t="e">
        <v>#N/A</v>
      </c>
      <c r="H819" s="4"/>
    </row>
    <row r="820" spans="1:29" ht="15" customHeight="1">
      <c r="A820" s="677"/>
      <c r="B820" s="688"/>
      <c r="C820" s="679"/>
      <c r="D820" s="679"/>
      <c r="E820" s="680"/>
      <c r="F820" s="681"/>
      <c r="G820" s="680" t="e">
        <v>#N/A</v>
      </c>
      <c r="H820" s="4"/>
    </row>
    <row r="821" spans="1:29" ht="15" customHeight="1">
      <c r="A821" s="677"/>
      <c r="B821" s="688"/>
      <c r="C821" s="679"/>
      <c r="D821" s="679"/>
      <c r="E821" s="680"/>
      <c r="F821" s="681"/>
      <c r="G821" s="680" t="e">
        <v>#N/A</v>
      </c>
      <c r="H821" s="3"/>
    </row>
    <row r="822" spans="1:29" ht="15" customHeight="1">
      <c r="A822" s="677"/>
      <c r="B822" s="688"/>
      <c r="C822" s="679"/>
      <c r="D822" s="679"/>
      <c r="E822" s="680"/>
      <c r="F822" s="681"/>
      <c r="G822" s="680" t="e">
        <v>#N/A</v>
      </c>
      <c r="H822" s="3"/>
    </row>
    <row r="823" spans="1:29" ht="15" customHeight="1">
      <c r="A823" s="677"/>
      <c r="B823" s="688"/>
      <c r="C823" s="679"/>
      <c r="D823" s="679"/>
      <c r="E823" s="680"/>
      <c r="F823" s="681"/>
      <c r="G823" s="680" t="e">
        <v>#N/A</v>
      </c>
      <c r="H823" s="3"/>
      <c r="I823" s="3"/>
      <c r="J823" s="3"/>
      <c r="K823" s="3"/>
      <c r="L823" s="3"/>
      <c r="M823" s="3"/>
      <c r="N823" s="3"/>
      <c r="O823" s="3"/>
      <c r="P823" s="3"/>
      <c r="Q823" s="3"/>
      <c r="R823" s="3"/>
      <c r="S823" s="3"/>
      <c r="T823" s="3"/>
      <c r="U823" s="3"/>
      <c r="V823" s="3"/>
      <c r="W823" s="3"/>
      <c r="X823" s="3"/>
      <c r="Y823" s="3"/>
      <c r="Z823" s="3"/>
      <c r="AA823" s="3"/>
      <c r="AB823" s="3"/>
      <c r="AC823" s="3"/>
    </row>
    <row r="824" spans="1:29" ht="15" customHeight="1">
      <c r="A824" s="677"/>
      <c r="B824" s="688"/>
      <c r="C824" s="679"/>
      <c r="D824" s="679"/>
      <c r="E824" s="680"/>
      <c r="F824" s="681"/>
      <c r="G824" s="680" t="e">
        <v>#N/A</v>
      </c>
      <c r="H824" s="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v>#N/A</v>
      </c>
      <c r="H825" s="3"/>
    </row>
    <row r="826" spans="1:29" ht="15" customHeight="1">
      <c r="A826" s="677"/>
      <c r="B826" s="688"/>
      <c r="C826" s="679"/>
      <c r="D826" s="679"/>
      <c r="E826" s="680"/>
      <c r="F826" s="681"/>
      <c r="G826" s="680" t="e">
        <v>#N/A</v>
      </c>
      <c r="H826" s="3"/>
    </row>
    <row r="827" spans="1:29" ht="15" customHeight="1">
      <c r="A827" s="677"/>
      <c r="B827" s="688"/>
      <c r="C827" s="679"/>
      <c r="D827" s="679"/>
      <c r="E827" s="680"/>
      <c r="F827" s="681"/>
      <c r="G827" s="680" t="e">
        <v>#N/A</v>
      </c>
      <c r="H827" s="3"/>
    </row>
    <row r="828" spans="1:29" ht="15" customHeight="1">
      <c r="A828" s="677"/>
      <c r="B828" s="688"/>
      <c r="C828" s="679"/>
      <c r="D828" s="679"/>
      <c r="E828" s="680"/>
      <c r="F828" s="681"/>
      <c r="G828" s="680" t="e">
        <v>#N/A</v>
      </c>
      <c r="H828" s="3"/>
    </row>
    <row r="829" spans="1:29" ht="15" customHeight="1">
      <c r="A829" s="688"/>
      <c r="B829" s="688"/>
      <c r="C829" s="679"/>
      <c r="D829" s="679"/>
      <c r="E829" s="680"/>
      <c r="F829" s="681"/>
      <c r="G829" s="680" t="e">
        <v>#N/A</v>
      </c>
      <c r="H829" s="33"/>
    </row>
    <row r="830" spans="1:29" ht="15" customHeight="1">
      <c r="A830" s="688"/>
      <c r="B830" s="688"/>
      <c r="C830" s="679"/>
      <c r="D830" s="679"/>
      <c r="E830" s="680"/>
      <c r="F830" s="681"/>
      <c r="G830" s="680" t="e">
        <v>#N/A</v>
      </c>
      <c r="H830" s="33"/>
      <c r="I830" s="3"/>
      <c r="J830" s="3"/>
      <c r="L830" s="3"/>
      <c r="M830" s="3"/>
      <c r="N830" s="3"/>
      <c r="O830" s="3"/>
      <c r="P830" s="3"/>
      <c r="Q830" s="3"/>
      <c r="R830" s="3"/>
      <c r="S830" s="3"/>
      <c r="T830" s="3"/>
      <c r="U830" s="3"/>
      <c r="V830" s="3"/>
      <c r="W830" s="3"/>
      <c r="X830" s="3"/>
      <c r="Y830" s="3"/>
      <c r="Z830" s="3"/>
      <c r="AA830" s="3"/>
      <c r="AB830" s="3"/>
      <c r="AC830" s="3"/>
    </row>
    <row r="831" spans="1:29" ht="15" customHeight="1">
      <c r="A831" s="677"/>
      <c r="B831" s="688"/>
      <c r="C831" s="679"/>
      <c r="D831" s="679"/>
      <c r="E831" s="680"/>
      <c r="F831" s="681"/>
      <c r="G831" s="680" t="e">
        <v>#N/A</v>
      </c>
      <c r="H831" s="33"/>
    </row>
    <row r="832" spans="1:29" ht="15" customHeight="1">
      <c r="A832" s="677"/>
      <c r="B832" s="688"/>
      <c r="C832" s="679"/>
      <c r="D832" s="679"/>
      <c r="E832" s="680"/>
      <c r="F832" s="681"/>
      <c r="G832" s="680" t="e">
        <v>#N/A</v>
      </c>
      <c r="H832" s="33"/>
    </row>
    <row r="833" spans="1:8" ht="15" customHeight="1">
      <c r="A833" s="677"/>
      <c r="B833" s="688"/>
      <c r="C833" s="679"/>
      <c r="D833" s="679"/>
      <c r="E833" s="680"/>
      <c r="F833" s="681"/>
      <c r="G833" s="680" t="e">
        <v>#N/A</v>
      </c>
      <c r="H833" s="33"/>
    </row>
    <row r="834" spans="1:8" ht="15" customHeight="1">
      <c r="A834" s="677"/>
      <c r="B834" s="688"/>
      <c r="C834" s="679"/>
      <c r="D834" s="679"/>
      <c r="E834" s="680"/>
      <c r="F834" s="681"/>
      <c r="G834" s="680" t="e">
        <v>#N/A</v>
      </c>
      <c r="H834" s="33"/>
    </row>
    <row r="835" spans="1:8" ht="15" customHeight="1">
      <c r="A835" s="677"/>
      <c r="B835" s="688"/>
      <c r="C835" s="679"/>
      <c r="D835" s="679"/>
      <c r="E835" s="680"/>
      <c r="F835" s="681"/>
      <c r="G835" s="680" t="e">
        <v>#N/A</v>
      </c>
      <c r="H835" s="33"/>
    </row>
    <row r="836" spans="1:8" ht="15" customHeight="1">
      <c r="A836" s="677"/>
      <c r="B836" s="688"/>
      <c r="C836" s="679"/>
      <c r="D836" s="679"/>
      <c r="E836" s="680"/>
      <c r="F836" s="681"/>
      <c r="G836" s="680" t="e">
        <v>#N/A</v>
      </c>
      <c r="H836" s="33"/>
    </row>
    <row r="837" spans="1:8" ht="15" customHeight="1">
      <c r="A837" s="677"/>
      <c r="B837" s="701"/>
      <c r="C837" s="693"/>
      <c r="D837" s="679"/>
      <c r="E837" s="680"/>
      <c r="F837" s="681"/>
      <c r="G837" s="680" t="e">
        <v>#N/A</v>
      </c>
      <c r="H837" s="33"/>
    </row>
    <row r="838" spans="1:8" ht="15" customHeight="1">
      <c r="A838" s="677"/>
      <c r="B838" s="688"/>
      <c r="C838" s="679"/>
      <c r="D838" s="679"/>
      <c r="E838" s="680"/>
      <c r="F838" s="681"/>
      <c r="G838" s="680" t="e">
        <v>#N/A</v>
      </c>
      <c r="H838" s="33"/>
    </row>
    <row r="839" spans="1:8" ht="15" customHeight="1">
      <c r="A839" s="677"/>
      <c r="B839" s="688"/>
      <c r="C839" s="679"/>
      <c r="D839" s="679"/>
      <c r="E839" s="680"/>
      <c r="F839" s="681"/>
      <c r="G839" s="680" t="e">
        <v>#N/A</v>
      </c>
      <c r="H839" s="33"/>
    </row>
    <row r="840" spans="1:8" ht="15" customHeight="1">
      <c r="A840" s="677"/>
      <c r="B840" s="688"/>
      <c r="C840" s="679"/>
      <c r="D840" s="679"/>
      <c r="E840" s="680"/>
      <c r="F840" s="681"/>
      <c r="G840" s="680" t="e">
        <v>#N/A</v>
      </c>
      <c r="H840" s="33"/>
    </row>
    <row r="841" spans="1:8" ht="15" customHeight="1">
      <c r="A841" s="677"/>
      <c r="B841" s="688"/>
      <c r="C841" s="679"/>
      <c r="D841" s="679"/>
      <c r="E841" s="680"/>
      <c r="F841" s="681"/>
      <c r="G841" s="680" t="e">
        <v>#N/A</v>
      </c>
      <c r="H841" s="33"/>
    </row>
    <row r="842" spans="1:8" ht="15" customHeight="1">
      <c r="A842" s="677"/>
      <c r="B842" s="688"/>
      <c r="C842" s="679"/>
      <c r="D842" s="679"/>
      <c r="E842" s="680"/>
      <c r="F842" s="681"/>
      <c r="G842" s="680" t="e">
        <v>#N/A</v>
      </c>
      <c r="H842" s="3"/>
    </row>
    <row r="843" spans="1:8" ht="15" customHeight="1">
      <c r="A843" s="677"/>
      <c r="B843" s="688"/>
      <c r="C843" s="679"/>
      <c r="D843" s="679"/>
      <c r="E843" s="680"/>
      <c r="F843" s="681"/>
      <c r="G843" s="680" t="e">
        <v>#N/A</v>
      </c>
      <c r="H843" s="3"/>
    </row>
    <row r="844" spans="1:8" ht="15" customHeight="1">
      <c r="A844" s="677"/>
      <c r="B844" s="688"/>
      <c r="C844" s="679"/>
      <c r="D844" s="679"/>
      <c r="E844" s="680"/>
      <c r="F844" s="681"/>
      <c r="G844" s="680" t="e">
        <v>#N/A</v>
      </c>
      <c r="H844" s="3"/>
    </row>
    <row r="845" spans="1:8" ht="15" customHeight="1">
      <c r="A845" s="677"/>
      <c r="B845" s="688"/>
      <c r="C845" s="679"/>
      <c r="D845" s="679"/>
      <c r="E845" s="680"/>
      <c r="F845" s="681"/>
      <c r="G845" s="680" t="e">
        <v>#N/A</v>
      </c>
      <c r="H845" s="3"/>
    </row>
    <row r="846" spans="1:8" ht="15" customHeight="1">
      <c r="A846" s="677"/>
      <c r="B846" s="688"/>
      <c r="C846" s="679"/>
      <c r="D846" s="679"/>
      <c r="E846" s="680"/>
      <c r="F846" s="681"/>
      <c r="G846" s="680" t="e">
        <v>#N/A</v>
      </c>
      <c r="H846" s="3"/>
    </row>
    <row r="847" spans="1:8" ht="15" customHeight="1">
      <c r="A847" s="677"/>
      <c r="B847" s="688"/>
      <c r="C847" s="679"/>
      <c r="D847" s="679"/>
      <c r="E847" s="680"/>
      <c r="F847" s="681"/>
      <c r="G847" s="680" t="e">
        <v>#N/A</v>
      </c>
      <c r="H847" s="3"/>
    </row>
    <row r="848" spans="1:8" ht="15" customHeight="1">
      <c r="A848" s="677"/>
      <c r="B848" s="688"/>
      <c r="C848" s="679"/>
      <c r="D848" s="679"/>
      <c r="E848" s="680"/>
      <c r="F848" s="681"/>
      <c r="G848" s="680" t="e">
        <v>#N/A</v>
      </c>
      <c r="H848" s="3"/>
    </row>
    <row r="849" spans="1:8" ht="15" customHeight="1">
      <c r="A849" s="677"/>
      <c r="B849" s="688"/>
      <c r="C849" s="679"/>
      <c r="D849" s="679"/>
      <c r="E849" s="680"/>
      <c r="F849" s="681"/>
      <c r="G849" s="680" t="e">
        <v>#N/A</v>
      </c>
      <c r="H849" s="3"/>
    </row>
    <row r="850" spans="1:8" ht="15" customHeight="1">
      <c r="A850" s="677"/>
      <c r="B850" s="688"/>
      <c r="C850" s="679"/>
      <c r="D850" s="679"/>
      <c r="E850" s="680"/>
      <c r="F850" s="681"/>
      <c r="G850" s="680" t="e">
        <v>#N/A</v>
      </c>
      <c r="H850" s="3"/>
    </row>
    <row r="851" spans="1:8" ht="15" customHeight="1">
      <c r="A851" s="677"/>
      <c r="B851" s="688"/>
      <c r="C851" s="679"/>
      <c r="D851" s="679"/>
      <c r="E851" s="680"/>
      <c r="F851" s="681"/>
      <c r="G851" s="680" t="e">
        <v>#N/A</v>
      </c>
      <c r="H851" s="3"/>
    </row>
    <row r="852" spans="1:8" ht="15" customHeight="1">
      <c r="A852" s="677"/>
      <c r="B852" s="688"/>
      <c r="C852" s="679"/>
      <c r="D852" s="679"/>
      <c r="E852" s="680"/>
      <c r="F852" s="681"/>
      <c r="G852" s="680" t="e">
        <v>#N/A</v>
      </c>
      <c r="H852" s="33"/>
    </row>
    <row r="853" spans="1:8" ht="15" customHeight="1">
      <c r="A853" s="677"/>
      <c r="B853" s="688"/>
      <c r="C853" s="679"/>
      <c r="D853" s="679"/>
      <c r="E853" s="680"/>
      <c r="F853" s="681"/>
      <c r="G853" s="680" t="e">
        <v>#N/A</v>
      </c>
      <c r="H853" s="33"/>
    </row>
    <row r="854" spans="1:8" ht="15" customHeight="1">
      <c r="A854" s="677"/>
      <c r="B854" s="688"/>
      <c r="C854" s="679"/>
      <c r="D854" s="679"/>
      <c r="E854" s="680"/>
      <c r="F854" s="681"/>
      <c r="G854" s="680" t="e">
        <v>#N/A</v>
      </c>
      <c r="H854" s="33"/>
    </row>
    <row r="855" spans="1:8" ht="15" customHeight="1">
      <c r="A855" s="677"/>
      <c r="B855" s="688"/>
      <c r="C855" s="679"/>
      <c r="D855" s="679"/>
      <c r="E855" s="680"/>
      <c r="F855" s="681"/>
      <c r="G855" s="680" t="e">
        <v>#N/A</v>
      </c>
      <c r="H855" s="33"/>
    </row>
    <row r="856" spans="1:8" ht="15" customHeight="1">
      <c r="A856" s="677"/>
      <c r="B856" s="688"/>
      <c r="C856" s="679"/>
      <c r="D856" s="679"/>
      <c r="E856" s="680"/>
      <c r="F856" s="681"/>
      <c r="G856" s="680" t="e">
        <v>#N/A</v>
      </c>
      <c r="H856" s="33"/>
    </row>
    <row r="857" spans="1:8" ht="15" customHeight="1">
      <c r="A857" s="677"/>
      <c r="B857" s="688"/>
      <c r="C857" s="679"/>
      <c r="D857" s="679"/>
      <c r="E857" s="680"/>
      <c r="F857" s="681"/>
      <c r="G857" s="680" t="e">
        <v>#N/A</v>
      </c>
      <c r="H857" s="33"/>
    </row>
    <row r="858" spans="1:8" ht="15" customHeight="1">
      <c r="A858" s="677"/>
      <c r="B858" s="688"/>
      <c r="C858" s="679"/>
      <c r="D858" s="679"/>
      <c r="E858" s="680"/>
      <c r="F858" s="681"/>
      <c r="G858" s="680" t="e">
        <v>#N/A</v>
      </c>
      <c r="H858" s="33"/>
    </row>
    <row r="859" spans="1:8" ht="15" customHeight="1">
      <c r="A859" s="702"/>
      <c r="B859" s="700"/>
      <c r="C859" s="679"/>
      <c r="D859" s="679"/>
      <c r="E859" s="680"/>
      <c r="F859" s="681"/>
      <c r="G859" s="680" t="e">
        <v>#N/A</v>
      </c>
      <c r="H859" s="33"/>
    </row>
    <row r="860" spans="1:8" ht="15" customHeight="1">
      <c r="A860" s="677"/>
      <c r="B860" s="688"/>
      <c r="C860" s="679"/>
      <c r="D860" s="679"/>
      <c r="E860" s="680"/>
      <c r="F860" s="681"/>
      <c r="G860" s="680" t="e">
        <v>#N/A</v>
      </c>
      <c r="H860" s="33"/>
    </row>
    <row r="861" spans="1:8" ht="15" customHeight="1">
      <c r="A861" s="677"/>
      <c r="B861" s="688"/>
      <c r="C861" s="679"/>
      <c r="D861" s="679"/>
      <c r="E861" s="680"/>
      <c r="F861" s="681"/>
      <c r="G861" s="680" t="e">
        <v>#N/A</v>
      </c>
      <c r="H861" s="33"/>
    </row>
    <row r="862" spans="1:8" ht="15" customHeight="1">
      <c r="A862" s="677"/>
      <c r="B862" s="688"/>
      <c r="C862" s="679"/>
      <c r="D862" s="679"/>
      <c r="E862" s="680"/>
      <c r="F862" s="681"/>
      <c r="G862" s="680" t="e">
        <v>#N/A</v>
      </c>
      <c r="H862" s="33"/>
    </row>
    <row r="863" spans="1:8" ht="15" customHeight="1">
      <c r="A863" s="677"/>
      <c r="B863" s="688"/>
      <c r="C863" s="679"/>
      <c r="D863" s="679"/>
      <c r="E863" s="680"/>
      <c r="F863" s="681"/>
      <c r="G863" s="680" t="e">
        <v>#N/A</v>
      </c>
      <c r="H863" s="33"/>
    </row>
    <row r="864" spans="1:8" ht="15" customHeight="1">
      <c r="A864" s="688"/>
      <c r="B864" s="688"/>
      <c r="C864" s="679"/>
      <c r="D864" s="679"/>
      <c r="E864" s="680"/>
      <c r="F864" s="681"/>
      <c r="G864" s="680" t="e">
        <v>#N/A</v>
      </c>
      <c r="H864" s="33"/>
    </row>
    <row r="865" spans="1:29" ht="15" customHeight="1">
      <c r="A865" s="677"/>
      <c r="B865" s="688"/>
      <c r="C865" s="679"/>
      <c r="D865" s="679"/>
      <c r="E865" s="680"/>
      <c r="F865" s="681"/>
      <c r="G865" s="680" t="e">
        <v>#N/A</v>
      </c>
      <c r="H865" s="33"/>
    </row>
    <row r="866" spans="1:29" ht="15" customHeight="1">
      <c r="A866" s="677"/>
      <c r="B866" s="688"/>
      <c r="C866" s="679"/>
      <c r="D866" s="679"/>
      <c r="E866" s="680"/>
      <c r="F866" s="681"/>
      <c r="G866" s="680" t="e">
        <v>#N/A</v>
      </c>
      <c r="H866" s="33"/>
    </row>
    <row r="867" spans="1:29" ht="15" customHeight="1">
      <c r="A867" s="677"/>
      <c r="B867" s="688"/>
      <c r="C867" s="679"/>
      <c r="D867" s="679"/>
      <c r="E867" s="680"/>
      <c r="F867" s="681"/>
      <c r="G867" s="680" t="e">
        <v>#N/A</v>
      </c>
      <c r="H867" s="33"/>
    </row>
    <row r="868" spans="1:29" ht="15" customHeight="1">
      <c r="A868" s="677"/>
      <c r="B868" s="688"/>
      <c r="C868" s="679"/>
      <c r="D868" s="679"/>
      <c r="E868" s="680"/>
      <c r="F868" s="681"/>
      <c r="G868" s="680" t="e">
        <v>#N/A</v>
      </c>
      <c r="H868" s="33"/>
    </row>
    <row r="869" spans="1:29" ht="15" customHeight="1">
      <c r="A869" s="677"/>
      <c r="B869" s="688"/>
      <c r="C869" s="679"/>
      <c r="D869" s="679"/>
      <c r="E869" s="680"/>
      <c r="F869" s="681"/>
      <c r="G869" s="680" t="e">
        <v>#N/A</v>
      </c>
      <c r="H869" s="33"/>
    </row>
    <row r="870" spans="1:29" ht="15" customHeight="1">
      <c r="A870" s="677"/>
      <c r="B870" s="688"/>
      <c r="C870" s="679"/>
      <c r="D870" s="679"/>
      <c r="E870" s="680"/>
      <c r="F870" s="681"/>
      <c r="G870" s="680" t="e">
        <v>#N/A</v>
      </c>
      <c r="H870" s="33"/>
    </row>
    <row r="871" spans="1:29" ht="15" customHeight="1">
      <c r="A871" s="677"/>
      <c r="B871" s="688"/>
      <c r="C871" s="679"/>
      <c r="D871" s="679"/>
      <c r="E871" s="680"/>
      <c r="F871" s="681"/>
      <c r="G871" s="680" t="e">
        <v>#N/A</v>
      </c>
      <c r="H871" s="33"/>
    </row>
    <row r="872" spans="1:29" ht="15" customHeight="1">
      <c r="A872" s="677"/>
      <c r="B872" s="688"/>
      <c r="C872" s="679"/>
      <c r="D872" s="679"/>
      <c r="E872" s="680"/>
      <c r="F872" s="681"/>
      <c r="G872" s="680" t="e">
        <v>#N/A</v>
      </c>
      <c r="H872" s="33"/>
    </row>
    <row r="873" spans="1:29" ht="15" customHeight="1">
      <c r="A873" s="677"/>
      <c r="B873" s="688"/>
      <c r="C873" s="679"/>
      <c r="D873" s="679"/>
      <c r="E873" s="680"/>
      <c r="F873" s="681"/>
      <c r="G873" s="680" t="e">
        <v>#N/A</v>
      </c>
      <c r="H873" s="33"/>
    </row>
    <row r="874" spans="1:29" ht="15" customHeight="1">
      <c r="A874" s="677"/>
      <c r="B874" s="688"/>
      <c r="C874" s="679"/>
      <c r="D874" s="679"/>
      <c r="E874" s="680"/>
      <c r="F874" s="681"/>
      <c r="G874" s="680" t="e">
        <v>#N/A</v>
      </c>
      <c r="H874" s="33"/>
      <c r="K874" s="3"/>
    </row>
    <row r="875" spans="1:29" ht="15" customHeight="1">
      <c r="A875" s="677"/>
      <c r="B875" s="688"/>
      <c r="C875" s="679"/>
      <c r="D875" s="679"/>
      <c r="E875" s="680"/>
      <c r="F875" s="681"/>
      <c r="G875" s="680" t="e">
        <v>#N/A</v>
      </c>
      <c r="H875" s="33"/>
      <c r="K875" s="3"/>
    </row>
    <row r="876" spans="1:29" ht="15" customHeight="1">
      <c r="A876" s="677"/>
      <c r="B876" s="688"/>
      <c r="C876" s="679"/>
      <c r="D876" s="679"/>
      <c r="E876" s="680"/>
      <c r="F876" s="681"/>
      <c r="G876" s="680" t="e">
        <v>#N/A</v>
      </c>
      <c r="H876" s="33"/>
    </row>
    <row r="877" spans="1:29" ht="15" customHeight="1">
      <c r="A877" s="677"/>
      <c r="B877" s="688"/>
      <c r="C877" s="679"/>
      <c r="D877" s="679"/>
      <c r="E877" s="680"/>
      <c r="F877" s="681"/>
      <c r="G877" s="680" t="e">
        <v>#N/A</v>
      </c>
      <c r="H877" s="33"/>
    </row>
    <row r="878" spans="1:29" ht="15" customHeight="1">
      <c r="A878" s="677"/>
      <c r="B878" s="688"/>
      <c r="C878" s="679"/>
      <c r="D878" s="679"/>
      <c r="E878" s="680"/>
      <c r="F878" s="681"/>
      <c r="G878" s="680" t="e">
        <v>#N/A</v>
      </c>
      <c r="H878" s="33"/>
    </row>
    <row r="879" spans="1:29" ht="15" customHeight="1">
      <c r="A879" s="677"/>
      <c r="B879" s="688"/>
      <c r="C879" s="679"/>
      <c r="D879" s="679"/>
      <c r="E879" s="680"/>
      <c r="F879" s="681"/>
      <c r="G879" s="680" t="e">
        <v>#N/A</v>
      </c>
      <c r="H879" s="33"/>
      <c r="I879" s="3"/>
      <c r="J879" s="3"/>
      <c r="L879" s="3"/>
      <c r="M879" s="3"/>
      <c r="N879" s="3"/>
      <c r="O879" s="3"/>
      <c r="P879" s="3"/>
      <c r="Q879" s="3"/>
      <c r="R879" s="3"/>
      <c r="S879" s="3"/>
      <c r="T879" s="3"/>
      <c r="U879" s="3"/>
      <c r="V879" s="3"/>
      <c r="W879" s="3"/>
      <c r="X879" s="3"/>
      <c r="Y879" s="3"/>
      <c r="Z879" s="3"/>
      <c r="AA879" s="3"/>
      <c r="AB879" s="3"/>
      <c r="AC879" s="3"/>
    </row>
    <row r="880" spans="1:29" ht="15" customHeight="1">
      <c r="A880" s="677"/>
      <c r="B880" s="688"/>
      <c r="C880" s="679"/>
      <c r="D880" s="679"/>
      <c r="E880" s="680"/>
      <c r="F880" s="681"/>
      <c r="G880" s="680" t="e">
        <v>#N/A</v>
      </c>
      <c r="H880" s="33"/>
    </row>
    <row r="881" spans="1:11" ht="15" customHeight="1">
      <c r="A881" s="677"/>
      <c r="B881" s="688"/>
      <c r="C881" s="679"/>
      <c r="D881" s="679"/>
      <c r="E881" s="680"/>
      <c r="F881" s="681"/>
      <c r="G881" s="680" t="e">
        <v>#N/A</v>
      </c>
      <c r="H881" s="33"/>
      <c r="K881" s="3"/>
    </row>
    <row r="882" spans="1:11" ht="15" customHeight="1">
      <c r="A882" s="677"/>
      <c r="B882" s="688"/>
      <c r="C882" s="679"/>
      <c r="D882" s="679"/>
      <c r="E882" s="680"/>
      <c r="F882" s="681"/>
      <c r="G882" s="680" t="e">
        <v>#N/A</v>
      </c>
      <c r="H882" s="33"/>
    </row>
    <row r="883" spans="1:11" ht="15" customHeight="1">
      <c r="A883" s="677"/>
      <c r="B883" s="688"/>
      <c r="C883" s="679"/>
      <c r="D883" s="679"/>
      <c r="E883" s="680"/>
      <c r="F883" s="681"/>
      <c r="G883" s="680" t="e">
        <v>#N/A</v>
      </c>
      <c r="H883" s="33"/>
    </row>
    <row r="884" spans="1:11" ht="15" customHeight="1">
      <c r="A884" s="677"/>
      <c r="B884" s="688"/>
      <c r="C884" s="679"/>
      <c r="D884" s="679"/>
      <c r="E884" s="680"/>
      <c r="F884" s="681"/>
      <c r="G884" s="680" t="e">
        <v>#N/A</v>
      </c>
      <c r="H884" s="33"/>
    </row>
    <row r="885" spans="1:11" ht="15" customHeight="1">
      <c r="A885" s="688"/>
      <c r="B885" s="688"/>
      <c r="C885" s="679"/>
      <c r="D885" s="679"/>
      <c r="E885" s="680"/>
      <c r="F885" s="681"/>
      <c r="G885" s="680" t="e">
        <v>#N/A</v>
      </c>
      <c r="H885" s="33"/>
    </row>
    <row r="886" spans="1:11" ht="15" customHeight="1">
      <c r="A886" s="677"/>
      <c r="B886" s="688"/>
      <c r="C886" s="679"/>
      <c r="D886" s="679"/>
      <c r="E886" s="680"/>
      <c r="F886" s="681"/>
      <c r="G886" s="680" t="e">
        <v>#N/A</v>
      </c>
      <c r="H886" s="33"/>
      <c r="K886" s="3"/>
    </row>
    <row r="887" spans="1:11" ht="15" customHeight="1">
      <c r="A887" s="677"/>
      <c r="B887" s="688"/>
      <c r="C887" s="679"/>
      <c r="D887" s="679"/>
      <c r="E887" s="680"/>
      <c r="F887" s="681"/>
      <c r="G887" s="680" t="e">
        <v>#N/A</v>
      </c>
      <c r="H887" s="33"/>
    </row>
    <row r="888" spans="1:11" ht="15" customHeight="1">
      <c r="A888" s="677"/>
      <c r="B888" s="688"/>
      <c r="C888" s="679"/>
      <c r="D888" s="679"/>
      <c r="E888" s="680"/>
      <c r="F888" s="681"/>
      <c r="G888" s="680" t="e">
        <v>#N/A</v>
      </c>
      <c r="H888" s="33"/>
    </row>
    <row r="889" spans="1:11" ht="15" customHeight="1">
      <c r="A889" s="677"/>
      <c r="B889" s="688"/>
      <c r="C889" s="679"/>
      <c r="D889" s="679"/>
      <c r="E889" s="680"/>
      <c r="F889" s="681"/>
      <c r="G889" s="680" t="e">
        <v>#N/A</v>
      </c>
      <c r="H889" s="33"/>
    </row>
    <row r="890" spans="1:11" ht="15" customHeight="1">
      <c r="A890" s="677"/>
      <c r="B890" s="688"/>
      <c r="C890" s="679"/>
      <c r="D890" s="679"/>
      <c r="E890" s="680"/>
      <c r="F890" s="681"/>
      <c r="G890" s="680" t="e">
        <v>#N/A</v>
      </c>
      <c r="H890" s="33"/>
    </row>
    <row r="891" spans="1:11" ht="15" customHeight="1">
      <c r="A891" s="677"/>
      <c r="B891" s="688"/>
      <c r="C891" s="679"/>
      <c r="D891" s="679"/>
      <c r="E891" s="680"/>
      <c r="F891" s="681"/>
      <c r="G891" s="680" t="e">
        <v>#N/A</v>
      </c>
      <c r="H891" s="33"/>
    </row>
    <row r="892" spans="1:11" ht="15" customHeight="1">
      <c r="A892" s="677"/>
      <c r="B892" s="688"/>
      <c r="C892" s="679"/>
      <c r="D892" s="679"/>
      <c r="E892" s="680"/>
      <c r="F892" s="681"/>
      <c r="G892" s="680" t="e">
        <v>#N/A</v>
      </c>
      <c r="H892" s="33"/>
    </row>
    <row r="893" spans="1:11" ht="15" customHeight="1">
      <c r="A893" s="677"/>
      <c r="B893" s="688"/>
      <c r="C893" s="679"/>
      <c r="D893" s="679"/>
      <c r="E893" s="680"/>
      <c r="F893" s="681"/>
      <c r="G893" s="680" t="e">
        <v>#N/A</v>
      </c>
      <c r="H893" s="33"/>
    </row>
    <row r="894" spans="1:11" ht="15" customHeight="1">
      <c r="A894" s="677"/>
      <c r="B894" s="688"/>
      <c r="C894" s="679"/>
      <c r="D894" s="679"/>
      <c r="E894" s="680"/>
      <c r="F894" s="681"/>
      <c r="G894" s="680" t="e">
        <v>#N/A</v>
      </c>
      <c r="H894" s="33"/>
    </row>
    <row r="895" spans="1:11" ht="15" customHeight="1">
      <c r="A895" s="677"/>
      <c r="B895" s="688"/>
      <c r="C895" s="679"/>
      <c r="D895" s="679"/>
      <c r="E895" s="680"/>
      <c r="F895" s="681"/>
      <c r="G895" s="680" t="e">
        <v>#N/A</v>
      </c>
      <c r="H895" s="33"/>
    </row>
    <row r="896" spans="1:11" ht="15" customHeight="1">
      <c r="A896" s="688"/>
      <c r="B896" s="688"/>
      <c r="C896" s="679"/>
      <c r="D896" s="679"/>
      <c r="E896" s="680"/>
      <c r="F896" s="681"/>
      <c r="G896" s="680" t="e">
        <v>#N/A</v>
      </c>
      <c r="H896" s="33"/>
    </row>
    <row r="897" spans="1:8" ht="15" customHeight="1">
      <c r="A897" s="688"/>
      <c r="B897" s="688"/>
      <c r="C897" s="679"/>
      <c r="D897" s="679"/>
      <c r="E897" s="680"/>
      <c r="F897" s="681"/>
      <c r="G897" s="680" t="e">
        <v>#N/A</v>
      </c>
      <c r="H897" s="33"/>
    </row>
    <row r="898" spans="1:8" ht="15" customHeight="1">
      <c r="A898" s="677"/>
      <c r="B898" s="688"/>
      <c r="C898" s="679"/>
      <c r="D898" s="679"/>
      <c r="E898" s="680"/>
      <c r="F898" s="681"/>
      <c r="G898" s="680" t="e">
        <v>#N/A</v>
      </c>
      <c r="H898" s="33"/>
    </row>
    <row r="899" spans="1:8" ht="15" customHeight="1">
      <c r="A899" s="677"/>
      <c r="B899" s="688"/>
      <c r="C899" s="679"/>
      <c r="D899" s="679"/>
      <c r="E899" s="680"/>
      <c r="F899" s="681"/>
      <c r="G899" s="680" t="e">
        <v>#N/A</v>
      </c>
      <c r="H899" s="33"/>
    </row>
    <row r="900" spans="1:8" ht="15" customHeight="1">
      <c r="A900" s="677"/>
      <c r="B900" s="688"/>
      <c r="C900" s="679"/>
      <c r="D900" s="679"/>
      <c r="E900" s="680"/>
      <c r="F900" s="681"/>
      <c r="G900" s="680" t="e">
        <v>#N/A</v>
      </c>
      <c r="H900" s="33"/>
    </row>
    <row r="901" spans="1:8" ht="15" customHeight="1">
      <c r="A901" s="677"/>
      <c r="B901" s="688"/>
      <c r="C901" s="679"/>
      <c r="D901" s="679"/>
      <c r="E901" s="680"/>
      <c r="F901" s="681"/>
      <c r="G901" s="680" t="e">
        <v>#N/A</v>
      </c>
      <c r="H901" s="33"/>
    </row>
    <row r="902" spans="1:8" ht="15" customHeight="1">
      <c r="A902" s="677"/>
      <c r="B902" s="688"/>
      <c r="C902" s="679"/>
      <c r="D902" s="679"/>
      <c r="E902" s="680"/>
      <c r="F902" s="681"/>
      <c r="G902" s="680" t="e">
        <v>#N/A</v>
      </c>
      <c r="H902" s="33"/>
    </row>
    <row r="903" spans="1:8" ht="15" customHeight="1">
      <c r="A903" s="677"/>
      <c r="B903" s="688"/>
      <c r="C903" s="679"/>
      <c r="D903" s="679"/>
      <c r="E903" s="680"/>
      <c r="F903" s="681"/>
      <c r="G903" s="680" t="e">
        <v>#N/A</v>
      </c>
      <c r="H903" s="33"/>
    </row>
    <row r="904" spans="1:8" ht="15" customHeight="1">
      <c r="A904" s="677"/>
      <c r="B904" s="688"/>
      <c r="C904" s="679"/>
      <c r="D904" s="679"/>
      <c r="E904" s="680"/>
      <c r="F904" s="681"/>
      <c r="G904" s="680" t="e">
        <v>#N/A</v>
      </c>
      <c r="H904" s="33"/>
    </row>
    <row r="905" spans="1:8" ht="15" customHeight="1">
      <c r="A905" s="677"/>
      <c r="B905" s="688"/>
      <c r="C905" s="679"/>
      <c r="D905" s="679"/>
      <c r="E905" s="680"/>
      <c r="F905" s="681"/>
      <c r="G905" s="680" t="e">
        <v>#N/A</v>
      </c>
      <c r="H905" s="33"/>
    </row>
    <row r="906" spans="1:8" ht="15" customHeight="1">
      <c r="A906" s="677"/>
      <c r="B906" s="688"/>
      <c r="C906" s="679"/>
      <c r="D906" s="679"/>
      <c r="E906" s="680"/>
      <c r="F906" s="681"/>
      <c r="G906" s="680" t="e">
        <v>#N/A</v>
      </c>
      <c r="H906" s="33"/>
    </row>
    <row r="907" spans="1:8" ht="15" customHeight="1">
      <c r="A907" s="677"/>
      <c r="B907" s="688"/>
      <c r="C907" s="679"/>
      <c r="D907" s="679"/>
      <c r="E907" s="680"/>
      <c r="F907" s="681"/>
      <c r="G907" s="680" t="e">
        <v>#N/A</v>
      </c>
      <c r="H907" s="33"/>
    </row>
    <row r="908" spans="1:8" ht="15" customHeight="1">
      <c r="A908" s="677"/>
      <c r="B908" s="688"/>
      <c r="C908" s="679"/>
      <c r="D908" s="679"/>
      <c r="E908" s="680"/>
      <c r="F908" s="681"/>
      <c r="G908" s="680" t="e">
        <v>#N/A</v>
      </c>
      <c r="H908" s="33"/>
    </row>
    <row r="909" spans="1:8" ht="15" customHeight="1">
      <c r="A909" s="677"/>
      <c r="B909" s="688"/>
      <c r="C909" s="679"/>
      <c r="D909" s="679"/>
      <c r="E909" s="680"/>
      <c r="F909" s="681"/>
      <c r="G909" s="680" t="e">
        <v>#N/A</v>
      </c>
      <c r="H909" s="33"/>
    </row>
    <row r="910" spans="1:8" ht="15" customHeight="1">
      <c r="A910" s="677"/>
      <c r="B910" s="688"/>
      <c r="C910" s="679"/>
      <c r="D910" s="679"/>
      <c r="E910" s="680"/>
      <c r="F910" s="681"/>
      <c r="G910" s="680" t="e">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33"/>
    </row>
    <row r="914" spans="1:29" ht="15" customHeight="1">
      <c r="A914" s="677"/>
      <c r="B914" s="688"/>
      <c r="C914" s="679"/>
      <c r="D914" s="679"/>
      <c r="E914" s="680"/>
      <c r="F914" s="681"/>
      <c r="G914" s="680" t="e">
        <f>+VLOOKUP(Data_Validation!$A914,BV_Data_An_Cour!$L:$Q,6,0)</f>
        <v>#N/A</v>
      </c>
      <c r="H914" s="33"/>
    </row>
    <row r="915" spans="1:29" ht="15" customHeight="1">
      <c r="A915" s="677"/>
      <c r="B915" s="688"/>
      <c r="C915" s="679"/>
      <c r="D915" s="679"/>
      <c r="E915" s="680"/>
      <c r="F915" s="681"/>
      <c r="G915" s="680" t="e">
        <f>+VLOOKUP(Data_Validation!$A915,BV_Data_An_Cour!$L:$Q,6,0)</f>
        <v>#N/A</v>
      </c>
      <c r="H915" s="33"/>
    </row>
    <row r="916" spans="1:29" ht="15" customHeight="1">
      <c r="A916" s="677"/>
      <c r="B916" s="688"/>
      <c r="C916" s="679"/>
      <c r="D916" s="679"/>
      <c r="E916" s="680"/>
      <c r="F916" s="681"/>
      <c r="G916" s="680" t="e">
        <f>+VLOOKUP(Data_Validation!$A916,BV_Data_An_Cour!$L:$Q,6,0)</f>
        <v>#N/A</v>
      </c>
      <c r="H916" s="33"/>
    </row>
    <row r="917" spans="1:29" ht="15" customHeight="1">
      <c r="A917" s="677"/>
      <c r="B917" s="688"/>
      <c r="C917" s="679"/>
      <c r="D917" s="679"/>
      <c r="E917" s="680"/>
      <c r="F917" s="681"/>
      <c r="G917" s="680" t="e">
        <f>+VLOOKUP(Data_Validation!$A917,BV_Data_An_Cour!$L:$Q,6,0)</f>
        <v>#N/A</v>
      </c>
      <c r="H917" s="33"/>
    </row>
    <row r="918" spans="1:29" ht="15" customHeight="1">
      <c r="A918" s="677"/>
      <c r="B918" s="688"/>
      <c r="C918" s="679"/>
      <c r="D918" s="679"/>
      <c r="E918" s="680"/>
      <c r="F918" s="681"/>
      <c r="G918" s="680" t="e">
        <f>+VLOOKUP(Data_Validation!$A918,BV_Data_An_Cour!$L:$Q,6,0)</f>
        <v>#N/A</v>
      </c>
      <c r="H918" s="33"/>
    </row>
    <row r="919" spans="1:29" ht="15" customHeight="1">
      <c r="A919" s="677"/>
      <c r="B919" s="688"/>
      <c r="C919" s="679"/>
      <c r="D919" s="679"/>
      <c r="E919" s="680"/>
      <c r="F919" s="681"/>
      <c r="G919" s="680" t="e">
        <f>+VLOOKUP(Data_Validation!$A919,BV_Data_An_Cour!$L:$Q,6,0)</f>
        <v>#N/A</v>
      </c>
      <c r="H919" s="4"/>
    </row>
    <row r="920" spans="1:29" ht="15" customHeight="1">
      <c r="A920" s="689"/>
      <c r="B920" s="678"/>
      <c r="C920" s="679"/>
      <c r="D920" s="679"/>
      <c r="E920" s="680"/>
      <c r="F920" s="681"/>
      <c r="G920" s="680" t="e">
        <f>+VLOOKUP(Data_Validation!$A920,BV_Data_An_Cour!$L:$Q,6,0)</f>
        <v>#N/A</v>
      </c>
      <c r="H920" s="4"/>
    </row>
    <row r="921" spans="1:29" ht="15" customHeight="1">
      <c r="A921" s="688"/>
      <c r="B921" s="688"/>
      <c r="C921" s="679"/>
      <c r="D921" s="679"/>
      <c r="E921" s="680"/>
      <c r="F921" s="681"/>
      <c r="G921" s="680" t="e">
        <f>+VLOOKUP(Data_Validation!$A921,BV_Data_An_Cour!$L:$Q,6,0)</f>
        <v>#N/A</v>
      </c>
      <c r="H921" s="4"/>
    </row>
    <row r="922" spans="1:29" ht="15" customHeight="1">
      <c r="A922" s="688"/>
      <c r="B922" s="688"/>
      <c r="C922" s="679"/>
      <c r="D922" s="679"/>
      <c r="E922" s="680"/>
      <c r="F922" s="681"/>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77"/>
      <c r="B924" s="688"/>
      <c r="C924" s="679"/>
      <c r="D924" s="679"/>
      <c r="E924" s="680"/>
      <c r="F924" s="681"/>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77"/>
      <c r="B927" s="688"/>
      <c r="C927" s="679"/>
      <c r="D927" s="679"/>
      <c r="E927" s="680"/>
      <c r="F927" s="681"/>
      <c r="G927" s="680" t="e">
        <f>+VLOOKUP(Data_Validation!$A927,BV_Data_An_Cour!$L:$Q,6,0)</f>
        <v>#N/A</v>
      </c>
      <c r="H927" s="4"/>
      <c r="I927" s="3"/>
      <c r="J927" s="3"/>
      <c r="L927" s="3"/>
      <c r="M927" s="3"/>
      <c r="N927" s="3"/>
      <c r="O927" s="3"/>
      <c r="P927" s="3"/>
      <c r="Q927" s="3"/>
      <c r="R927" s="3"/>
      <c r="S927" s="3"/>
      <c r="T927" s="3"/>
      <c r="U927" s="3"/>
      <c r="V927" s="3"/>
      <c r="W927" s="3"/>
      <c r="X927" s="3"/>
      <c r="Y927" s="3"/>
      <c r="Z927" s="3"/>
      <c r="AA927" s="3"/>
      <c r="AB927" s="3"/>
      <c r="AC927" s="3"/>
    </row>
    <row r="928" spans="1:29" ht="15" customHeight="1">
      <c r="A928" s="689"/>
      <c r="B928" s="678"/>
      <c r="C928" s="679"/>
      <c r="D928" s="679"/>
      <c r="E928" s="686"/>
      <c r="F928" s="686"/>
      <c r="G928" s="680" t="e">
        <f>+VLOOKUP(Data_Validation!$A928,BV_Data_An_Cour!$L:$Q,6,0)</f>
        <v>#N/A</v>
      </c>
      <c r="H928" s="4"/>
    </row>
    <row r="929" spans="1:29" ht="15" customHeight="1">
      <c r="A929" s="677"/>
      <c r="B929" s="688"/>
      <c r="C929" s="679"/>
      <c r="D929" s="679"/>
      <c r="E929" s="680"/>
      <c r="F929" s="681"/>
      <c r="G929" s="680" t="e">
        <f>+VLOOKUP(Data_Validation!$A929,BV_Data_An_Cour!$L:$Q,6,0)</f>
        <v>#N/A</v>
      </c>
      <c r="H929" s="4"/>
    </row>
    <row r="930" spans="1:29" ht="15" customHeight="1">
      <c r="A930" s="689"/>
      <c r="B930" s="678"/>
      <c r="C930" s="679"/>
      <c r="D930" s="679"/>
      <c r="E930" s="686"/>
      <c r="F930" s="686"/>
      <c r="G930" s="680" t="e">
        <f>+VLOOKUP(Data_Validation!$A930,BV_Data_An_Cour!$L:$Q,6,0)</f>
        <v>#N/A</v>
      </c>
      <c r="H930" s="4"/>
    </row>
    <row r="931" spans="1:29" ht="15" customHeight="1">
      <c r="A931" s="677"/>
      <c r="B931" s="688"/>
      <c r="C931" s="679"/>
      <c r="D931" s="679"/>
      <c r="E931" s="680"/>
      <c r="F931" s="681"/>
      <c r="G931" s="680" t="e">
        <f>+VLOOKUP(Data_Validation!$A931,BV_Data_An_Cour!$L:$Q,6,0)</f>
        <v>#N/A</v>
      </c>
      <c r="H931" s="4"/>
    </row>
    <row r="932" spans="1:29" ht="15" customHeight="1">
      <c r="A932" s="677"/>
      <c r="B932" s="688"/>
      <c r="C932" s="679"/>
      <c r="D932" s="679"/>
      <c r="E932" s="680"/>
      <c r="F932" s="681"/>
      <c r="G932" s="680" t="e">
        <f>+VLOOKUP(Data_Validation!$A932,BV_Data_An_Cour!$L:$Q,6,0)</f>
        <v>#N/A</v>
      </c>
      <c r="H932" s="4"/>
    </row>
    <row r="933" spans="1:29" ht="15" customHeight="1">
      <c r="A933" s="689"/>
      <c r="B933" s="678"/>
      <c r="C933" s="679"/>
      <c r="D933" s="679"/>
      <c r="E933" s="686"/>
      <c r="F933" s="686"/>
      <c r="G933" s="680" t="e">
        <f>+VLOOKUP(Data_Validation!$A933,BV_Data_An_Cour!$L:$Q,6,0)</f>
        <v>#N/A</v>
      </c>
      <c r="H933" s="3"/>
    </row>
    <row r="934" spans="1:29" ht="15" customHeight="1">
      <c r="A934" s="688"/>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77"/>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9"/>
      <c r="B939" s="678"/>
      <c r="C939" s="679"/>
      <c r="D939" s="679"/>
      <c r="E939" s="686"/>
      <c r="F939" s="686"/>
      <c r="G939" s="680" t="e">
        <f>+VLOOKUP(Data_Validation!$A939,BV_Data_An_Cour!$L:$Q,6,0)</f>
        <v>#N/A</v>
      </c>
      <c r="H939" s="3"/>
    </row>
    <row r="940" spans="1:29" ht="15" customHeight="1">
      <c r="A940" s="677"/>
      <c r="B940" s="688"/>
      <c r="C940" s="679"/>
      <c r="D940" s="679"/>
      <c r="E940" s="680"/>
      <c r="F940" s="681"/>
      <c r="G940" s="680" t="e">
        <f>+VLOOKUP(Data_Validation!$A940,BV_Data_An_Cour!$L:$Q,6,0)</f>
        <v>#N/A</v>
      </c>
      <c r="H940" s="3"/>
    </row>
    <row r="941" spans="1:29" ht="15" customHeight="1">
      <c r="A941" s="689"/>
      <c r="B941" s="678"/>
      <c r="C941" s="679"/>
      <c r="D941" s="679"/>
      <c r="E941" s="686"/>
      <c r="F941" s="686"/>
      <c r="G941" s="680" t="e">
        <f>+VLOOKUP(Data_Validation!$A941,BV_Data_An_Cour!$L:$Q,6,0)</f>
        <v>#N/A</v>
      </c>
      <c r="H941" s="3"/>
    </row>
    <row r="942" spans="1:29" ht="15" customHeight="1">
      <c r="A942" s="677"/>
      <c r="B942" s="688"/>
      <c r="C942" s="679"/>
      <c r="D942" s="679"/>
      <c r="E942" s="680"/>
      <c r="F942" s="681"/>
      <c r="G942" s="680" t="e">
        <f>+VLOOKUP(Data_Validation!$A942,BV_Data_An_Cour!$L:$Q,6,0)</f>
        <v>#N/A</v>
      </c>
      <c r="H942" s="3"/>
    </row>
    <row r="943" spans="1:29" ht="15" customHeight="1">
      <c r="A943" s="689"/>
      <c r="B943" s="678"/>
      <c r="C943" s="679"/>
      <c r="D943" s="679"/>
      <c r="E943" s="686"/>
      <c r="F943" s="686"/>
      <c r="G943" s="680" t="e">
        <f>+VLOOKUP(Data_Validation!$A943,BV_Data_An_Cour!$L:$Q,6,0)</f>
        <v>#N/A</v>
      </c>
      <c r="H943" s="3"/>
    </row>
    <row r="944" spans="1:29" ht="15" customHeight="1">
      <c r="A944" s="688"/>
      <c r="B944" s="688"/>
      <c r="C944" s="679"/>
      <c r="D944" s="679"/>
      <c r="E944" s="680"/>
      <c r="F944" s="681"/>
      <c r="G944" s="680" t="e">
        <f>+VLOOKUP(Data_Validation!$A944,BV_Data_An_Cour!$L:$Q,6,0)</f>
        <v>#N/A</v>
      </c>
      <c r="H944" s="3"/>
      <c r="I944" s="3"/>
      <c r="J944" s="3"/>
      <c r="L944" s="3"/>
      <c r="M944" s="3"/>
      <c r="N944" s="3"/>
      <c r="O944" s="3"/>
      <c r="P944" s="3"/>
      <c r="Q944" s="3"/>
      <c r="R944" s="3"/>
      <c r="S944" s="3"/>
      <c r="T944" s="3"/>
      <c r="U944" s="3"/>
      <c r="V944" s="3"/>
      <c r="W944" s="3"/>
      <c r="X944" s="3"/>
      <c r="Y944" s="3"/>
      <c r="Z944" s="3"/>
      <c r="AA944" s="3"/>
      <c r="AB944" s="3"/>
      <c r="AC944" s="3"/>
    </row>
    <row r="945" spans="1:29" ht="15" customHeight="1">
      <c r="A945" s="688"/>
      <c r="B945" s="688"/>
      <c r="C945" s="679"/>
      <c r="D945" s="679"/>
      <c r="E945" s="680"/>
      <c r="F945" s="681"/>
      <c r="G945" s="680" t="e">
        <f>+VLOOKUP(Data_Validation!$A945,BV_Data_An_Cour!$L:$Q,6,0)</f>
        <v>#N/A</v>
      </c>
      <c r="H945" s="3"/>
    </row>
    <row r="946" spans="1:29" ht="15" customHeight="1">
      <c r="A946" s="688"/>
      <c r="B946" s="688"/>
      <c r="C946" s="679"/>
      <c r="D946" s="679"/>
      <c r="E946" s="680"/>
      <c r="F946" s="681"/>
      <c r="G946" s="680" t="e">
        <f>+VLOOKUP(Data_Validation!$A946,BV_Data_An_Cour!$L:$Q,6,0)</f>
        <v>#N/A</v>
      </c>
      <c r="H946" s="3"/>
    </row>
    <row r="947" spans="1:29" ht="15" customHeight="1">
      <c r="A947" s="688"/>
      <c r="B947" s="688"/>
      <c r="C947" s="679"/>
      <c r="D947" s="679"/>
      <c r="E947" s="680"/>
      <c r="F947" s="681"/>
      <c r="G947" s="680" t="e">
        <f>+VLOOKUP(Data_Validation!$A947,BV_Data_An_Cour!$L:$Q,6,0)</f>
        <v>#N/A</v>
      </c>
      <c r="H947" s="3"/>
      <c r="I947" s="3"/>
      <c r="J947" s="3"/>
      <c r="L947" s="3"/>
      <c r="M947" s="3"/>
      <c r="N947" s="3"/>
      <c r="O947" s="3"/>
      <c r="P947" s="3"/>
      <c r="Q947" s="3"/>
      <c r="R947" s="3"/>
      <c r="S947" s="3"/>
      <c r="T947" s="3"/>
      <c r="U947" s="3"/>
      <c r="V947" s="3"/>
      <c r="W947" s="3"/>
      <c r="X947" s="3"/>
      <c r="Y947" s="3"/>
      <c r="Z947" s="3"/>
      <c r="AA947" s="3"/>
      <c r="AB947" s="3"/>
      <c r="AC947" s="3"/>
    </row>
    <row r="948" spans="1:29" ht="15" customHeight="1">
      <c r="A948" s="688"/>
      <c r="B948" s="688"/>
      <c r="C948" s="679"/>
      <c r="D948" s="679"/>
      <c r="E948" s="680"/>
      <c r="F948" s="681"/>
      <c r="G948" s="680" t="e">
        <f>+VLOOKUP(Data_Validation!$A948,BV_Data_An_Cour!$L:$Q,6,0)</f>
        <v>#N/A</v>
      </c>
      <c r="H948" s="3"/>
    </row>
    <row r="949" spans="1:29" ht="15" customHeight="1">
      <c r="A949" s="688"/>
      <c r="B949" s="688"/>
      <c r="C949" s="679"/>
      <c r="D949" s="679"/>
      <c r="E949" s="680"/>
      <c r="F949" s="681"/>
      <c r="G949" s="680" t="e">
        <f>+VLOOKUP(Data_Validation!$A949,BV_Data_An_Cour!$L:$Q,6,0)</f>
        <v>#N/A</v>
      </c>
      <c r="H949" s="3"/>
    </row>
    <row r="950" spans="1:29" ht="15" customHeight="1">
      <c r="A950" s="677"/>
      <c r="B950" s="685"/>
      <c r="C950" s="679"/>
      <c r="D950" s="679"/>
      <c r="E950" s="680"/>
      <c r="F950" s="681"/>
      <c r="G950" s="680"/>
      <c r="H950" s="3"/>
    </row>
    <row r="951" spans="1:29" ht="15" customHeight="1">
      <c r="A951" s="677"/>
      <c r="B951" s="685"/>
      <c r="C951" s="679"/>
      <c r="D951" s="679"/>
      <c r="E951" s="680"/>
      <c r="F951" s="681"/>
      <c r="G951" s="680"/>
      <c r="H951" s="3"/>
    </row>
    <row r="952" spans="1:29" ht="15" customHeight="1">
      <c r="A952" s="677"/>
      <c r="B952" s="685"/>
      <c r="C952" s="679"/>
      <c r="D952" s="679"/>
      <c r="E952" s="680"/>
      <c r="F952" s="681"/>
      <c r="G952" s="680"/>
      <c r="H952" s="3"/>
    </row>
    <row r="953" spans="1:29" ht="15" customHeight="1">
      <c r="A953" s="677"/>
      <c r="B953" s="685"/>
      <c r="C953" s="679"/>
      <c r="D953" s="679"/>
      <c r="E953" s="680"/>
      <c r="F953" s="681"/>
      <c r="G953" s="680"/>
      <c r="H953" s="3"/>
    </row>
    <row r="954" spans="1:29" ht="15" customHeight="1">
      <c r="A954" s="677"/>
      <c r="B954" s="685"/>
      <c r="C954" s="679"/>
      <c r="D954" s="679"/>
      <c r="E954" s="680"/>
      <c r="F954" s="681"/>
      <c r="G954" s="680"/>
      <c r="H954" s="3"/>
    </row>
    <row r="955" spans="1:29" ht="15" customHeight="1">
      <c r="A955" s="677"/>
      <c r="B955" s="685"/>
      <c r="C955" s="679"/>
      <c r="D955" s="679"/>
      <c r="E955" s="680"/>
      <c r="F955" s="681"/>
      <c r="G955" s="680"/>
      <c r="H955" s="3"/>
    </row>
    <row r="956" spans="1:29" ht="15" customHeight="1">
      <c r="A956" s="677"/>
      <c r="B956" s="685"/>
      <c r="C956" s="679"/>
      <c r="D956" s="679"/>
      <c r="E956" s="680"/>
      <c r="F956" s="681"/>
      <c r="G956" s="680"/>
      <c r="H956" s="3"/>
    </row>
    <row r="957" spans="1:29" ht="15" customHeight="1">
      <c r="A957" s="691"/>
      <c r="B957" s="695"/>
      <c r="C957" s="693"/>
      <c r="D957" s="679"/>
      <c r="E957" s="680"/>
      <c r="F957" s="681"/>
      <c r="G957" s="680"/>
      <c r="H957" s="3"/>
    </row>
    <row r="958" spans="1:29" ht="15" customHeight="1">
      <c r="A958" s="677"/>
      <c r="B958" s="685"/>
      <c r="C958" s="679"/>
      <c r="D958" s="679"/>
      <c r="E958" s="680"/>
      <c r="F958" s="681"/>
      <c r="G958" s="680"/>
      <c r="H958" s="3"/>
    </row>
    <row r="959" spans="1:29" ht="15" customHeight="1">
      <c r="A959" s="677"/>
      <c r="B959" s="685"/>
      <c r="C959" s="679"/>
      <c r="D959" s="679"/>
      <c r="E959" s="680"/>
      <c r="F959" s="681"/>
      <c r="G959" s="680"/>
      <c r="H959" s="3"/>
    </row>
    <row r="960" spans="1:29" ht="15" customHeight="1">
      <c r="A960" s="677"/>
      <c r="B960" s="685"/>
      <c r="C960" s="679"/>
      <c r="D960" s="679"/>
      <c r="E960" s="680"/>
      <c r="F960" s="681"/>
      <c r="G960" s="680"/>
      <c r="H960" s="3"/>
    </row>
    <row r="961" spans="1:8" ht="15" customHeight="1">
      <c r="A961" s="677"/>
      <c r="B961" s="685"/>
      <c r="C961" s="679"/>
      <c r="D961" s="679"/>
      <c r="E961" s="680"/>
      <c r="F961" s="681"/>
      <c r="G961" s="680"/>
      <c r="H961" s="3"/>
    </row>
    <row r="962" spans="1:8" ht="15" customHeight="1">
      <c r="A962" s="677"/>
      <c r="B962" s="685"/>
      <c r="C962" s="679"/>
      <c r="D962" s="679"/>
      <c r="E962" s="680"/>
      <c r="F962" s="681"/>
      <c r="G962" s="680"/>
      <c r="H962" s="3"/>
    </row>
    <row r="963" spans="1:8" ht="15" customHeight="1">
      <c r="A963" s="677"/>
      <c r="B963" s="685"/>
      <c r="C963" s="679"/>
      <c r="D963" s="679"/>
      <c r="E963" s="680"/>
      <c r="F963" s="681"/>
      <c r="G963" s="680"/>
      <c r="H963" s="3"/>
    </row>
    <row r="964" spans="1:8" ht="15" customHeight="1">
      <c r="A964" s="677"/>
      <c r="B964" s="685"/>
      <c r="C964" s="679"/>
      <c r="D964" s="679"/>
      <c r="E964" s="680"/>
      <c r="F964" s="681"/>
      <c r="G964" s="680"/>
      <c r="H964" s="3"/>
    </row>
    <row r="965" spans="1:8" ht="15" customHeight="1">
      <c r="A965" s="677"/>
      <c r="B965" s="685"/>
      <c r="C965" s="679"/>
      <c r="D965" s="679"/>
      <c r="E965" s="680"/>
      <c r="F965" s="681"/>
      <c r="G965" s="680"/>
      <c r="H965" s="3"/>
    </row>
    <row r="966" spans="1:8" ht="15" customHeight="1">
      <c r="A966" s="677"/>
      <c r="B966" s="685"/>
      <c r="C966" s="679"/>
      <c r="D966" s="679"/>
      <c r="E966" s="680"/>
      <c r="F966" s="681"/>
      <c r="G966" s="680"/>
      <c r="H966" s="3"/>
    </row>
    <row r="967" spans="1:8" ht="15" customHeight="1">
      <c r="A967" s="677"/>
      <c r="B967" s="685"/>
      <c r="C967" s="679"/>
      <c r="D967" s="679"/>
      <c r="E967" s="680"/>
      <c r="F967" s="681"/>
      <c r="G967" s="680"/>
      <c r="H967" s="3"/>
    </row>
    <row r="968" spans="1:8" ht="15" customHeight="1">
      <c r="A968" s="677"/>
      <c r="B968" s="685"/>
      <c r="C968" s="679"/>
      <c r="D968" s="679"/>
      <c r="E968" s="680"/>
      <c r="F968" s="681"/>
      <c r="G968" s="680"/>
      <c r="H968" s="3"/>
    </row>
    <row r="969" spans="1:8" ht="15" customHeight="1">
      <c r="A969" s="704"/>
      <c r="B969" s="685"/>
      <c r="C969" s="679"/>
      <c r="D969" s="679"/>
      <c r="E969" s="680"/>
      <c r="F969" s="681"/>
      <c r="G969" s="680"/>
      <c r="H969" s="3"/>
    </row>
    <row r="970" spans="1:8" ht="15" customHeight="1">
      <c r="A970" s="704"/>
      <c r="B970" s="685"/>
      <c r="C970" s="679"/>
      <c r="D970" s="679"/>
      <c r="E970" s="680"/>
      <c r="F970" s="681"/>
      <c r="G970" s="680"/>
      <c r="H970" s="3"/>
    </row>
    <row r="971" spans="1:8" ht="15" customHeight="1">
      <c r="A971" s="677"/>
      <c r="B971" s="685"/>
      <c r="C971" s="679"/>
      <c r="D971" s="679"/>
      <c r="E971" s="680"/>
      <c r="F971" s="681"/>
      <c r="G971" s="680"/>
      <c r="H971" s="3"/>
    </row>
    <row r="972" spans="1:8" ht="15" customHeight="1">
      <c r="A972" s="677"/>
      <c r="B972" s="685"/>
      <c r="C972" s="679"/>
      <c r="D972" s="679"/>
      <c r="E972" s="680"/>
      <c r="F972" s="681"/>
      <c r="G972" s="680"/>
      <c r="H972" s="3"/>
    </row>
    <row r="973" spans="1:8" ht="15" customHeight="1">
      <c r="A973" s="677"/>
      <c r="B973" s="685"/>
      <c r="C973" s="679"/>
      <c r="D973" s="679"/>
      <c r="E973" s="680"/>
      <c r="F973" s="681"/>
      <c r="G973" s="680"/>
      <c r="H973" s="3"/>
    </row>
    <row r="974" spans="1:8" ht="15" customHeight="1">
      <c r="A974" s="702"/>
      <c r="B974" s="705"/>
      <c r="C974" s="679"/>
      <c r="D974" s="679"/>
      <c r="E974" s="680"/>
      <c r="F974" s="681"/>
      <c r="G974" s="680"/>
      <c r="H974" s="3"/>
    </row>
    <row r="975" spans="1:8" ht="15" customHeight="1">
      <c r="A975" s="677"/>
      <c r="B975" s="685"/>
      <c r="C975" s="679"/>
      <c r="D975" s="679"/>
      <c r="E975" s="680"/>
      <c r="F975" s="681"/>
      <c r="G975" s="680"/>
      <c r="H975" s="3"/>
    </row>
    <row r="976" spans="1:8"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85"/>
      <c r="C978" s="679"/>
      <c r="D978" s="679"/>
      <c r="E978" s="680"/>
      <c r="F978" s="681"/>
      <c r="G978" s="680"/>
      <c r="H978" s="3"/>
      <c r="K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row>
    <row r="984" spans="1:11" ht="15" customHeight="1">
      <c r="A984" s="677"/>
      <c r="B984" s="679"/>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c r="K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c r="K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677"/>
      <c r="B1005" s="685"/>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c r="I1008" s="3"/>
      <c r="J1008" s="3"/>
      <c r="L1008" s="3"/>
      <c r="M1008" s="3"/>
      <c r="N1008" s="3"/>
      <c r="O1008" s="3"/>
      <c r="P1008" s="3"/>
      <c r="Q1008" s="3"/>
      <c r="R1008" s="3"/>
      <c r="S1008" s="3"/>
      <c r="T1008" s="3"/>
      <c r="U1008" s="3"/>
      <c r="V1008" s="3"/>
      <c r="W1008" s="3"/>
      <c r="X1008" s="3"/>
      <c r="Y1008" s="3"/>
      <c r="Z1008" s="3"/>
      <c r="AA1008" s="3"/>
      <c r="AB1008" s="3"/>
      <c r="AC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706"/>
      <c r="B1011" s="707"/>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c r="M1019" s="3"/>
      <c r="N1019" s="3"/>
      <c r="O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677"/>
      <c r="B1022" s="685"/>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8" ht="15" customHeight="1">
      <c r="A1025" s="677"/>
      <c r="B1025" s="685"/>
      <c r="C1025" s="679"/>
      <c r="D1025" s="679"/>
      <c r="E1025" s="680"/>
      <c r="F1025" s="681"/>
      <c r="G1025" s="680"/>
      <c r="H1025" s="3"/>
    </row>
    <row r="1026" spans="1:8" ht="15" customHeight="1">
      <c r="A1026" s="677"/>
      <c r="B1026" s="685"/>
      <c r="C1026" s="679"/>
      <c r="D1026" s="679"/>
      <c r="E1026" s="680"/>
      <c r="F1026" s="681"/>
      <c r="G1026" s="680"/>
      <c r="H1026" s="3"/>
    </row>
    <row r="1027" spans="1:8" ht="15" customHeight="1">
      <c r="A1027" s="677"/>
      <c r="B1027" s="685"/>
      <c r="C1027" s="679"/>
      <c r="D1027" s="679"/>
      <c r="E1027" s="680"/>
      <c r="F1027" s="681"/>
      <c r="G1027" s="680"/>
      <c r="H1027" s="3"/>
    </row>
    <row r="1028" spans="1:8" ht="15" customHeight="1">
      <c r="A1028" s="706"/>
      <c r="B1028" s="707"/>
      <c r="C1028" s="679"/>
      <c r="D1028" s="679"/>
      <c r="E1028" s="680"/>
      <c r="F1028" s="681"/>
      <c r="G1028" s="680"/>
      <c r="H1028" s="3"/>
    </row>
    <row r="1029" spans="1:8" ht="15" customHeight="1">
      <c r="A1029" s="677"/>
      <c r="B1029" s="685"/>
      <c r="C1029" s="679"/>
      <c r="D1029" s="679"/>
      <c r="E1029" s="680"/>
      <c r="F1029" s="681"/>
      <c r="G1029" s="680"/>
      <c r="H1029" s="3"/>
    </row>
    <row r="1030" spans="1:8" ht="15" customHeight="1">
      <c r="A1030" s="677"/>
      <c r="B1030" s="685"/>
      <c r="C1030" s="679"/>
      <c r="D1030" s="679"/>
      <c r="E1030" s="680"/>
      <c r="F1030" s="681"/>
      <c r="G1030" s="680"/>
      <c r="H1030" s="3"/>
    </row>
    <row r="1031" spans="1:8" ht="15" customHeight="1">
      <c r="A1031" s="677"/>
      <c r="B1031" s="685"/>
      <c r="C1031" s="679"/>
      <c r="D1031" s="679"/>
      <c r="E1031" s="680"/>
      <c r="F1031" s="681"/>
      <c r="G1031" s="680"/>
      <c r="H1031" s="3"/>
    </row>
    <row r="1032" spans="1:8" ht="15" customHeight="1">
      <c r="A1032" s="677"/>
      <c r="B1032" s="685"/>
      <c r="C1032" s="679"/>
      <c r="D1032" s="679"/>
      <c r="E1032" s="680"/>
      <c r="F1032" s="681"/>
      <c r="G1032" s="680"/>
      <c r="H1032" s="3"/>
    </row>
    <row r="1033" spans="1:8" ht="15" customHeight="1">
      <c r="A1033" s="677"/>
      <c r="B1033" s="685"/>
      <c r="C1033" s="679"/>
      <c r="D1033" s="679"/>
      <c r="E1033" s="680"/>
      <c r="F1033" s="681"/>
      <c r="G1033" s="680"/>
      <c r="H1033" s="3"/>
    </row>
    <row r="1034" spans="1:8" ht="15" customHeight="1">
      <c r="A1034" s="677"/>
      <c r="B1034" s="685"/>
      <c r="C1034" s="679"/>
      <c r="D1034" s="679"/>
      <c r="E1034" s="680"/>
      <c r="F1034" s="681"/>
      <c r="G1034" s="680"/>
      <c r="H1034" s="3"/>
    </row>
    <row r="1035" spans="1:8" ht="15" customHeight="1">
      <c r="A1035" s="677"/>
      <c r="B1035" s="685"/>
      <c r="C1035" s="679"/>
      <c r="D1035" s="679"/>
      <c r="E1035" s="680"/>
      <c r="F1035" s="681"/>
      <c r="G1035" s="680"/>
      <c r="H1035" s="3"/>
    </row>
    <row r="1036" spans="1:8" ht="15" customHeight="1">
      <c r="A1036" s="677"/>
      <c r="B1036" s="685"/>
      <c r="C1036" s="679"/>
      <c r="D1036" s="679"/>
      <c r="E1036" s="680"/>
      <c r="F1036" s="681"/>
      <c r="G1036" s="680"/>
      <c r="H1036" s="3"/>
    </row>
    <row r="1037" spans="1:8" ht="15" customHeight="1">
      <c r="A1037" s="677"/>
      <c r="B1037" s="685"/>
      <c r="C1037" s="679"/>
      <c r="D1037" s="679"/>
      <c r="E1037" s="680"/>
      <c r="F1037" s="681"/>
      <c r="G1037" s="680"/>
      <c r="H1037" s="3"/>
    </row>
    <row r="1038" spans="1:8" ht="15" customHeight="1">
      <c r="A1038" s="677"/>
      <c r="B1038" s="685"/>
      <c r="C1038" s="679"/>
      <c r="D1038" s="679"/>
      <c r="E1038" s="680"/>
      <c r="F1038" s="681"/>
      <c r="G1038" s="680"/>
      <c r="H1038" s="3"/>
    </row>
    <row r="1039" spans="1:8" ht="15" customHeight="1">
      <c r="A1039" s="677"/>
      <c r="B1039" s="685"/>
      <c r="C1039" s="679"/>
      <c r="D1039" s="679"/>
      <c r="E1039" s="680"/>
      <c r="F1039" s="681"/>
      <c r="G1039" s="680"/>
      <c r="H1039" s="3"/>
    </row>
    <row r="1040" spans="1:8" ht="15" customHeight="1">
      <c r="A1040" s="677"/>
      <c r="B1040" s="685"/>
      <c r="C1040" s="679"/>
      <c r="D1040" s="679"/>
      <c r="E1040" s="680"/>
      <c r="F1040" s="681"/>
      <c r="G1040" s="680"/>
      <c r="H1040" s="3"/>
    </row>
    <row r="1041" spans="1:29" ht="15" customHeight="1">
      <c r="A1041" s="677"/>
      <c r="B1041" s="685"/>
      <c r="C1041" s="679"/>
      <c r="D1041" s="679"/>
      <c r="E1041" s="680"/>
      <c r="F1041" s="681"/>
      <c r="G1041" s="680"/>
      <c r="H1041" s="3"/>
    </row>
    <row r="1042" spans="1:29" ht="15" customHeight="1">
      <c r="A1042" s="677"/>
      <c r="B1042" s="685"/>
      <c r="C1042" s="679"/>
      <c r="D1042" s="679"/>
      <c r="E1042" s="680"/>
      <c r="F1042" s="681"/>
      <c r="G1042" s="680"/>
      <c r="H1042" s="3"/>
    </row>
    <row r="1043" spans="1:29" ht="15" customHeight="1">
      <c r="A1043" s="677"/>
      <c r="B1043" s="685"/>
      <c r="C1043" s="679"/>
      <c r="D1043" s="679"/>
      <c r="E1043" s="680"/>
      <c r="F1043" s="681"/>
      <c r="G1043" s="680"/>
      <c r="H1043" s="3"/>
    </row>
    <row r="1044" spans="1:29" ht="15" customHeight="1">
      <c r="A1044" s="677"/>
      <c r="B1044" s="685"/>
      <c r="C1044" s="679"/>
      <c r="D1044" s="679"/>
      <c r="E1044" s="680"/>
      <c r="F1044" s="681"/>
      <c r="G1044" s="680"/>
      <c r="H1044" s="3"/>
      <c r="I1044" s="3"/>
      <c r="J1044" s="3"/>
      <c r="L1044" s="3"/>
      <c r="M1044" s="3"/>
      <c r="N1044" s="3"/>
      <c r="O1044" s="3"/>
      <c r="P1044" s="3"/>
      <c r="Q1044" s="3"/>
      <c r="R1044" s="3"/>
      <c r="S1044" s="3"/>
      <c r="T1044" s="3"/>
      <c r="U1044" s="3"/>
      <c r="V1044" s="3"/>
      <c r="W1044" s="3"/>
      <c r="X1044" s="3"/>
      <c r="Y1044" s="3"/>
      <c r="Z1044" s="3"/>
      <c r="AA1044" s="3"/>
      <c r="AB1044" s="3"/>
      <c r="AC1044" s="3"/>
    </row>
    <row r="1045" spans="1:29" ht="15" customHeight="1">
      <c r="A1045" s="677"/>
      <c r="B1045" s="685"/>
      <c r="C1045" s="679"/>
      <c r="D1045" s="679"/>
      <c r="E1045" s="680"/>
      <c r="F1045" s="681"/>
      <c r="G1045" s="680"/>
      <c r="H1045" s="3"/>
    </row>
    <row r="1046" spans="1:29" ht="15" customHeight="1">
      <c r="A1046" s="677"/>
      <c r="B1046" s="679"/>
      <c r="C1046" s="679"/>
      <c r="D1046" s="679"/>
      <c r="E1046" s="680"/>
      <c r="F1046" s="681"/>
      <c r="G1046" s="680"/>
      <c r="H1046" s="3"/>
    </row>
    <row r="1047" spans="1:29" ht="15" customHeight="1">
      <c r="A1047" s="677"/>
      <c r="B1047" s="685"/>
      <c r="C1047" s="679"/>
      <c r="D1047" s="679"/>
      <c r="E1047" s="680"/>
      <c r="F1047" s="681"/>
      <c r="G1047" s="680"/>
      <c r="H1047" s="3"/>
      <c r="I1047" s="3"/>
      <c r="J1047" s="3"/>
      <c r="L1047" s="3"/>
      <c r="M1047" s="3"/>
      <c r="N1047" s="3"/>
      <c r="O1047" s="3"/>
      <c r="P1047" s="3"/>
      <c r="Q1047" s="3"/>
      <c r="R1047" s="3"/>
      <c r="S1047" s="3"/>
      <c r="T1047" s="3"/>
      <c r="U1047" s="3"/>
      <c r="V1047" s="3"/>
      <c r="W1047" s="3"/>
      <c r="X1047" s="3"/>
      <c r="Y1047" s="3"/>
      <c r="Z1047" s="3"/>
      <c r="AA1047" s="3"/>
      <c r="AB1047" s="3"/>
      <c r="AC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708"/>
      <c r="B1049" s="709"/>
      <c r="C1049" s="710"/>
      <c r="D1049" s="710"/>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c r="K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row>
    <row r="1054" spans="1:29" ht="15" customHeight="1">
      <c r="A1054" s="677"/>
      <c r="B1054" s="685"/>
      <c r="C1054" s="679"/>
      <c r="D1054" s="679"/>
      <c r="E1054" s="680"/>
      <c r="F1054" s="681"/>
      <c r="G1054" s="680"/>
      <c r="H1054" s="3"/>
      <c r="I1054" s="3"/>
      <c r="J1054" s="3"/>
      <c r="L1054" s="3"/>
      <c r="M1054" s="3"/>
      <c r="N1054" s="3"/>
      <c r="O1054" s="3"/>
      <c r="P1054" s="3"/>
      <c r="Q1054" s="3"/>
      <c r="R1054" s="3"/>
      <c r="S1054" s="3"/>
      <c r="T1054" s="3"/>
      <c r="U1054" s="3"/>
      <c r="V1054" s="3"/>
      <c r="W1054" s="3"/>
      <c r="X1054" s="3"/>
      <c r="Y1054" s="3"/>
      <c r="Z1054" s="3"/>
      <c r="AA1054" s="3"/>
      <c r="AB1054" s="3"/>
      <c r="AC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11" ht="15" customHeight="1">
      <c r="A1057" s="677"/>
      <c r="B1057" s="685"/>
      <c r="C1057" s="679"/>
      <c r="D1057" s="679"/>
      <c r="E1057" s="680"/>
      <c r="F1057" s="681"/>
      <c r="G1057" s="680"/>
      <c r="H1057" s="3"/>
    </row>
    <row r="1058" spans="1:11" ht="15" customHeight="1">
      <c r="A1058" s="677"/>
      <c r="B1058" s="685"/>
      <c r="C1058" s="679"/>
      <c r="D1058" s="679"/>
      <c r="E1058" s="680"/>
      <c r="F1058" s="681"/>
      <c r="G1058" s="680"/>
      <c r="H1058" s="3"/>
    </row>
    <row r="1059" spans="1:11" ht="15" customHeight="1">
      <c r="A1059" s="677"/>
      <c r="B1059" s="685"/>
      <c r="C1059" s="679"/>
      <c r="D1059" s="679"/>
      <c r="E1059" s="680"/>
      <c r="F1059" s="681"/>
      <c r="G1059" s="680"/>
      <c r="H1059" s="3"/>
      <c r="K1059" s="3"/>
    </row>
    <row r="1060" spans="1:11" ht="15" customHeight="1">
      <c r="A1060" s="677"/>
      <c r="B1060" s="685"/>
      <c r="C1060" s="679"/>
      <c r="D1060" s="679"/>
      <c r="E1060" s="680"/>
      <c r="F1060" s="681"/>
      <c r="G1060" s="680"/>
      <c r="H1060" s="3"/>
    </row>
    <row r="1061" spans="1:11" ht="15" customHeight="1">
      <c r="A1061" s="677"/>
      <c r="B1061" s="685"/>
      <c r="C1061" s="679"/>
      <c r="D1061" s="679"/>
      <c r="E1061" s="680"/>
      <c r="F1061" s="681"/>
      <c r="G1061" s="680"/>
      <c r="H1061" s="3"/>
    </row>
    <row r="1062" spans="1:11" ht="15" customHeight="1">
      <c r="A1062" s="677"/>
      <c r="B1062" s="685"/>
      <c r="C1062" s="679"/>
      <c r="D1062" s="679"/>
      <c r="E1062" s="680"/>
      <c r="F1062" s="681"/>
      <c r="G1062" s="680"/>
      <c r="H1062" s="3"/>
    </row>
    <row r="1063" spans="1:11" ht="15" customHeight="1">
      <c r="A1063" s="677"/>
      <c r="B1063" s="685"/>
      <c r="C1063" s="679"/>
      <c r="D1063" s="679"/>
      <c r="E1063" s="680"/>
      <c r="F1063" s="681"/>
      <c r="G1063" s="680"/>
      <c r="H1063" s="3"/>
    </row>
    <row r="1064" spans="1:11" ht="15" customHeight="1">
      <c r="A1064" s="677"/>
      <c r="B1064" s="685"/>
      <c r="C1064" s="679"/>
      <c r="D1064" s="679"/>
      <c r="E1064" s="680"/>
      <c r="F1064" s="681"/>
      <c r="G1064" s="680"/>
      <c r="H1064" s="3"/>
    </row>
    <row r="1065" spans="1:11" ht="15" customHeight="1">
      <c r="A1065" s="677"/>
      <c r="B1065" s="685"/>
      <c r="C1065" s="679"/>
      <c r="D1065" s="679"/>
      <c r="E1065" s="680"/>
      <c r="F1065" s="681"/>
      <c r="G1065" s="680"/>
      <c r="H1065" s="3"/>
    </row>
    <row r="1066" spans="1:11" ht="15" customHeight="1">
      <c r="A1066" s="677"/>
      <c r="B1066" s="685"/>
      <c r="C1066" s="679"/>
      <c r="D1066" s="679"/>
      <c r="E1066" s="680"/>
      <c r="F1066" s="681"/>
      <c r="G1066" s="680"/>
      <c r="H1066" s="3"/>
    </row>
    <row r="1067" spans="1:11" ht="15" customHeight="1">
      <c r="A1067" s="677"/>
      <c r="B1067" s="685"/>
      <c r="C1067" s="679"/>
      <c r="D1067" s="679"/>
      <c r="E1067" s="680"/>
      <c r="F1067" s="681"/>
      <c r="G1067" s="680"/>
      <c r="H1067" s="3"/>
    </row>
    <row r="1068" spans="1:11" ht="15" customHeight="1">
      <c r="A1068" s="677"/>
      <c r="B1068" s="685"/>
      <c r="C1068" s="679"/>
      <c r="D1068" s="679"/>
      <c r="E1068" s="680"/>
      <c r="F1068" s="681"/>
      <c r="G1068" s="680"/>
      <c r="H1068" s="3"/>
    </row>
    <row r="1069" spans="1:11" ht="15" customHeight="1">
      <c r="A1069" s="677"/>
      <c r="B1069" s="685"/>
      <c r="C1069" s="679"/>
      <c r="D1069" s="679"/>
      <c r="E1069" s="680"/>
      <c r="F1069" s="681"/>
      <c r="G1069" s="680"/>
      <c r="H1069" s="3"/>
    </row>
    <row r="1070" spans="1:11" ht="15" customHeight="1">
      <c r="A1070" s="677"/>
      <c r="B1070" s="685"/>
      <c r="C1070" s="679"/>
      <c r="D1070" s="679"/>
      <c r="E1070" s="680"/>
      <c r="F1070" s="681"/>
      <c r="G1070" s="680"/>
      <c r="H1070" s="3"/>
    </row>
    <row r="1071" spans="1:11" ht="15" customHeight="1">
      <c r="A1071" s="677"/>
      <c r="B1071" s="685"/>
      <c r="C1071" s="679"/>
      <c r="D1071" s="679"/>
      <c r="E1071" s="680"/>
      <c r="F1071" s="681"/>
      <c r="G1071" s="680"/>
      <c r="H1071" s="3"/>
    </row>
    <row r="1072" spans="1:11"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677"/>
      <c r="B1076" s="685"/>
      <c r="C1076" s="679"/>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702"/>
      <c r="B1082" s="695"/>
      <c r="C1082" s="693"/>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row>
    <row r="1093" spans="1:11" ht="15" customHeight="1">
      <c r="A1093" s="677"/>
      <c r="B1093" s="685"/>
      <c r="C1093" s="679"/>
      <c r="D1093" s="679"/>
      <c r="E1093" s="680"/>
      <c r="F1093" s="681"/>
      <c r="G1093" s="680"/>
      <c r="H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 customHeight="1">
      <c r="A1098" s="677"/>
      <c r="B1098" s="685"/>
      <c r="C1098" s="679"/>
      <c r="D1098" s="679"/>
      <c r="E1098" s="680"/>
      <c r="F1098" s="681"/>
      <c r="G1098" s="680"/>
      <c r="H1098" s="3"/>
      <c r="K1098" s="3"/>
    </row>
    <row r="1099" spans="1:11" ht="15" customHeight="1">
      <c r="A1099" s="677"/>
      <c r="B1099" s="685"/>
      <c r="C1099" s="679"/>
      <c r="D1099" s="679"/>
      <c r="E1099" s="680"/>
      <c r="F1099" s="681"/>
      <c r="G1099" s="680"/>
      <c r="H1099" s="3"/>
      <c r="K1099" s="3"/>
    </row>
    <row r="1100" spans="1:11" ht="15" customHeight="1">
      <c r="A1100" s="677"/>
      <c r="B1100" s="685"/>
      <c r="C1100" s="679"/>
      <c r="D1100" s="679"/>
      <c r="E1100" s="680"/>
      <c r="F1100" s="681"/>
      <c r="G1100" s="680"/>
      <c r="H1100" s="3"/>
    </row>
    <row r="1101" spans="1:11" ht="15" customHeight="1">
      <c r="A1101" s="677"/>
      <c r="B1101" s="685"/>
      <c r="C1101" s="679"/>
      <c r="D1101" s="679"/>
      <c r="E1101" s="680"/>
      <c r="F1101" s="681"/>
      <c r="G1101" s="680"/>
      <c r="H1101" s="3"/>
    </row>
    <row r="1102" spans="1:11" ht="15" customHeight="1">
      <c r="A1102" s="677"/>
      <c r="B1102" s="685"/>
      <c r="C1102" s="679"/>
      <c r="D1102" s="679"/>
      <c r="E1102" s="680"/>
      <c r="F1102" s="681"/>
      <c r="G1102" s="680"/>
      <c r="H1102" s="3"/>
    </row>
    <row r="1103" spans="1:11" ht="1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707"/>
      <c r="C1105" s="679"/>
      <c r="D1105" s="679"/>
      <c r="E1105" s="680"/>
      <c r="F1105" s="681"/>
      <c r="G1105" s="680"/>
      <c r="H1105" s="3"/>
      <c r="K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c r="I1111" s="3"/>
      <c r="J1111" s="3"/>
      <c r="L1111" s="3"/>
      <c r="M1111" s="3"/>
      <c r="N1111" s="3"/>
      <c r="O1111" s="3"/>
      <c r="P1111" s="3"/>
      <c r="Q1111" s="3"/>
      <c r="R1111" s="3"/>
      <c r="S1111" s="3"/>
      <c r="T1111" s="3"/>
      <c r="U1111" s="3"/>
      <c r="V1111" s="3"/>
      <c r="W1111" s="3"/>
      <c r="X1111" s="3"/>
      <c r="Y1111" s="3"/>
      <c r="Z1111" s="3"/>
      <c r="AA1111" s="3"/>
      <c r="AB1111" s="3"/>
      <c r="AC1111" s="3"/>
    </row>
    <row r="1112" spans="1:29" ht="15.75" customHeight="1">
      <c r="A1112" s="677"/>
      <c r="B1112" s="685"/>
      <c r="C1112" s="679"/>
      <c r="D1112" s="679"/>
      <c r="E1112" s="680"/>
      <c r="F1112" s="681"/>
      <c r="G1112" s="680"/>
      <c r="H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c r="K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75" customHeight="1">
      <c r="A1126" s="677"/>
      <c r="B1126" s="685"/>
      <c r="C1126" s="679"/>
      <c r="D1126" s="679"/>
      <c r="E1126" s="680"/>
      <c r="F1126" s="681"/>
      <c r="G1126" s="680"/>
      <c r="H1126" s="3"/>
    </row>
    <row r="1127" spans="1:8" ht="15.75" customHeight="1">
      <c r="A1127" s="677"/>
      <c r="B1127" s="685"/>
      <c r="C1127" s="679"/>
      <c r="D1127" s="679"/>
      <c r="E1127" s="680"/>
      <c r="F1127" s="681"/>
      <c r="G1127" s="680"/>
      <c r="H1127" s="3"/>
    </row>
    <row r="1128" spans="1:8" ht="15.75" customHeight="1">
      <c r="A1128" s="677"/>
      <c r="B1128" s="685"/>
      <c r="C1128" s="679"/>
      <c r="D1128" s="679"/>
      <c r="E1128" s="680"/>
      <c r="F1128" s="681"/>
      <c r="G1128" s="680"/>
      <c r="H1128" s="3"/>
    </row>
    <row r="1129" spans="1:8" ht="15.75" customHeight="1">
      <c r="A1129" s="677"/>
      <c r="B1129" s="685"/>
      <c r="C1129" s="679"/>
      <c r="D1129" s="679"/>
      <c r="E1129" s="680"/>
      <c r="F1129" s="681"/>
      <c r="G1129" s="680"/>
      <c r="H1129" s="3"/>
    </row>
    <row r="1130" spans="1:8" ht="15.75" customHeight="1">
      <c r="A1130" s="677"/>
      <c r="B1130" s="685"/>
      <c r="C1130" s="679"/>
      <c r="D1130" s="679"/>
      <c r="E1130" s="680"/>
      <c r="F1130" s="681"/>
      <c r="G1130" s="680"/>
      <c r="H1130" s="3"/>
    </row>
    <row r="1131" spans="1:8" ht="15.75" customHeight="1">
      <c r="A1131" s="677"/>
      <c r="B1131" s="685"/>
      <c r="C1131" s="679"/>
      <c r="D1131" s="679"/>
      <c r="E1131" s="680"/>
      <c r="F1131" s="681"/>
      <c r="G1131" s="680"/>
      <c r="H1131" s="3"/>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702"/>
      <c r="B1136" s="679"/>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677"/>
      <c r="B1140" s="685"/>
      <c r="C1140" s="679"/>
      <c r="D1140" s="679"/>
      <c r="E1140" s="680"/>
      <c r="F1140" s="681"/>
      <c r="G1140" s="680"/>
      <c r="H1140" s="4"/>
    </row>
    <row r="1141" spans="1:8" ht="15" customHeight="1">
      <c r="A1141" s="677"/>
      <c r="B1141" s="685"/>
      <c r="C1141" s="679"/>
      <c r="D1141" s="679"/>
      <c r="E1141" s="680"/>
      <c r="F1141" s="681"/>
      <c r="G1141" s="680"/>
      <c r="H1141" s="4"/>
    </row>
    <row r="1142" spans="1:8" ht="15" customHeight="1">
      <c r="A1142" s="677"/>
      <c r="B1142" s="685"/>
      <c r="C1142" s="679"/>
      <c r="D1142" s="679"/>
      <c r="E1142" s="680"/>
      <c r="F1142" s="681"/>
      <c r="G1142" s="680"/>
      <c r="H1142" s="4"/>
    </row>
    <row r="1143" spans="1:8" ht="15" customHeight="1">
      <c r="A1143" s="677"/>
      <c r="B1143" s="685"/>
      <c r="C1143" s="679"/>
      <c r="D1143" s="679"/>
      <c r="E1143" s="680"/>
      <c r="F1143" s="681"/>
      <c r="G1143" s="680"/>
      <c r="H1143" s="4"/>
    </row>
    <row r="1144" spans="1:8" ht="15" customHeight="1">
      <c r="A1144" s="677"/>
      <c r="B1144" s="685"/>
      <c r="C1144" s="679"/>
      <c r="D1144" s="679"/>
      <c r="E1144" s="680"/>
      <c r="F1144" s="681"/>
      <c r="G1144" s="680"/>
      <c r="H1144" s="4"/>
    </row>
    <row r="1145" spans="1:8" ht="15" customHeight="1">
      <c r="A1145" s="677"/>
      <c r="B1145" s="685"/>
      <c r="C1145" s="679"/>
      <c r="D1145" s="679"/>
      <c r="E1145" s="680"/>
      <c r="F1145" s="681"/>
      <c r="G1145" s="680"/>
      <c r="H1145" s="4"/>
    </row>
    <row r="1146" spans="1:8" ht="15" customHeight="1">
      <c r="A1146" s="704"/>
      <c r="B1146" s="685"/>
      <c r="C1146" s="679"/>
      <c r="D1146" s="679"/>
      <c r="E1146" s="680"/>
      <c r="F1146" s="681"/>
      <c r="G1146" s="680"/>
    </row>
  </sheetData>
  <autoFilter ref="A1:G949">
    <sortState ref="A2:G949">
      <sortCondition ref="A1:A949"/>
    </sortState>
  </autoFilter>
  <dataValidations count="3">
    <dataValidation type="list" allowBlank="1" showErrorMessage="1" sqref="D1">
      <formula1>$K$1:$K$159</formula1>
    </dataValidation>
    <dataValidation type="list" allowBlank="1" showErrorMessage="1" sqref="D337:D1146 D2:D236 D239:D335">
      <formula1>$K$3:$K$159</formula1>
    </dataValidation>
    <dataValidation type="list" allowBlank="1" showErrorMessage="1" sqref="C2:C1146">
      <formula1>$I$1:$I$12</formula1>
    </dataValidation>
  </dataValidations>
  <hyperlinks>
    <hyperlink ref="A40" r:id="rId1"/>
    <hyperlink ref="A202" r:id="rId2"/>
    <hyperlink ref="A207" r:id="rId3"/>
    <hyperlink ref="A265" r:id="rId4"/>
    <hyperlink ref="A286" r:id="rId5"/>
    <hyperlink ref="A267" r:id="rId6"/>
    <hyperlink ref="A219" r:id="rId7"/>
    <hyperlink ref="A223" r:id="rId8"/>
  </hyperlinks>
  <pageMargins left="0.7" right="0.7" top="0.75" bottom="0.75" header="0" footer="0"/>
  <pageSetup orientation="landscape" r:id="rId9"/>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3412</v>
      </c>
      <c r="J1" s="1051" t="s">
        <v>3413</v>
      </c>
      <c r="K1" s="1051" t="s">
        <v>3414</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3322</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3322</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3322</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3322</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3322</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3322</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3322</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3322</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3322</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3322</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3322</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3352</v>
      </c>
      <c r="C13" s="1053"/>
      <c r="D13" s="1053"/>
      <c r="E13" s="1053"/>
      <c r="F13" s="1052" t="s">
        <v>2</v>
      </c>
      <c r="G13" s="1052" t="s">
        <v>3322</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3323</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3323</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3323</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3323</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3323</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3658</v>
      </c>
      <c r="B19" s="1052" t="s">
        <v>1718</v>
      </c>
      <c r="C19" s="1053"/>
      <c r="D19" s="1053"/>
      <c r="E19" s="1053"/>
      <c r="F19" s="1052" t="s">
        <v>2</v>
      </c>
      <c r="G19" s="1052" t="s">
        <v>3324</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3659</v>
      </c>
      <c r="B20" s="1052" t="s">
        <v>1721</v>
      </c>
      <c r="C20" s="1053"/>
      <c r="D20" s="1053"/>
      <c r="E20" s="1053"/>
      <c r="F20" s="1052" t="s">
        <v>2</v>
      </c>
      <c r="G20" s="1052" t="s">
        <v>3324</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3660</v>
      </c>
      <c r="B21" s="1052" t="s">
        <v>1724</v>
      </c>
      <c r="C21" s="1053"/>
      <c r="D21" s="1053"/>
      <c r="E21" s="1053"/>
      <c r="F21" s="1052" t="s">
        <v>2</v>
      </c>
      <c r="G21" s="1052" t="s">
        <v>3324</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3661</v>
      </c>
      <c r="B22" s="1052" t="s">
        <v>1727</v>
      </c>
      <c r="C22" s="1053"/>
      <c r="D22" s="1053"/>
      <c r="E22" s="1053"/>
      <c r="F22" s="1052" t="s">
        <v>2</v>
      </c>
      <c r="G22" s="1052" t="s">
        <v>3324</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3662</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3663</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3664</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3325</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3325</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3325</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3325</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3326</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3327</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3328</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3328</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3353</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3329</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3329</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3329</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3329</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3329</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3329</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3329</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3329</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3329</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3329</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3329</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3665</v>
      </c>
      <c r="B62" s="1052" t="s">
        <v>3354</v>
      </c>
      <c r="C62" s="1053"/>
      <c r="D62" s="1053"/>
      <c r="E62" s="1053"/>
      <c r="F62" s="1052" t="s">
        <v>2</v>
      </c>
      <c r="G62" s="1052" t="s">
        <v>3329</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3330</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3355</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3331</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3331</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3332</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3333</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3357</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3360</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3666</v>
      </c>
      <c r="B97" s="1052" t="s">
        <v>3362</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3363</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3364</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3366</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3367</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3370</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3371</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3335</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3667</v>
      </c>
      <c r="B158" s="1052" t="s">
        <v>3374</v>
      </c>
      <c r="C158" s="1054">
        <v>0</v>
      </c>
      <c r="D158" s="1054">
        <v>-10831.38</v>
      </c>
      <c r="E158" s="1054">
        <v>-10831.38</v>
      </c>
      <c r="F158" s="1052" t="s">
        <v>902</v>
      </c>
      <c r="G158" s="1052" t="s">
        <v>3668</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3669</v>
      </c>
      <c r="B159" s="1052" t="s">
        <v>3375</v>
      </c>
      <c r="C159" s="1054">
        <v>0</v>
      </c>
      <c r="D159" s="1054">
        <v>-7073.76</v>
      </c>
      <c r="E159" s="1054">
        <v>-7073.76</v>
      </c>
      <c r="F159" s="1052" t="s">
        <v>902</v>
      </c>
      <c r="G159" s="1052" t="s">
        <v>3670</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3376</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3377</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3378</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3379</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3380</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3349</v>
      </c>
      <c r="C203" s="1054">
        <v>-136159.35</v>
      </c>
      <c r="D203" s="1054">
        <v>0</v>
      </c>
      <c r="E203" s="1054">
        <v>-136159.35</v>
      </c>
      <c r="F203" s="1052" t="s">
        <v>963</v>
      </c>
      <c r="G203" s="1052" t="s">
        <v>3349</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3381</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3671</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3672</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3673</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3334</v>
      </c>
      <c r="C221" s="1054">
        <v>-5600</v>
      </c>
      <c r="D221" s="1054">
        <v>0</v>
      </c>
      <c r="E221" s="1054">
        <v>-5600</v>
      </c>
      <c r="F221" s="1052" t="s">
        <v>963</v>
      </c>
      <c r="G221" s="1052" t="s">
        <v>3334</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3674</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3675</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3676</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3677</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3383</v>
      </c>
      <c r="C231" s="1054">
        <v>-247.19</v>
      </c>
      <c r="D231" s="1054">
        <v>0</v>
      </c>
      <c r="E231" s="1054">
        <v>-247.19</v>
      </c>
      <c r="F231" s="1052" t="s">
        <v>963</v>
      </c>
      <c r="G231" s="1052" t="s">
        <v>3383</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3678</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3679</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3680</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3384</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3385</v>
      </c>
      <c r="C244" s="1054">
        <v>126137.85</v>
      </c>
      <c r="D244" s="1054">
        <v>0</v>
      </c>
      <c r="E244" s="1054">
        <v>126137.85</v>
      </c>
      <c r="F244" s="1052" t="s">
        <v>1110</v>
      </c>
      <c r="G244" s="1052" t="s">
        <v>3349</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3386</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3671</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3672</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3673</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3681</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3674</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3675</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3676</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3677</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3387</v>
      </c>
      <c r="C275" s="1054">
        <v>189.83</v>
      </c>
      <c r="D275" s="1054">
        <v>0</v>
      </c>
      <c r="E275" s="1054">
        <v>189.83</v>
      </c>
      <c r="F275" s="1052" t="s">
        <v>1110</v>
      </c>
      <c r="G275" s="1052" t="s">
        <v>3383</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3678</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3679</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3680</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3388</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3390</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3391</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3394</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3396</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3397</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3398</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3401</v>
      </c>
      <c r="C440" s="1054">
        <v>17649.330000000002</v>
      </c>
      <c r="D440" s="1054">
        <v>1630.49</v>
      </c>
      <c r="E440" s="1054">
        <v>19279.82</v>
      </c>
      <c r="F440" s="1052" t="s">
        <v>1154</v>
      </c>
      <c r="G440" s="1052" t="s">
        <v>3339</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3682</v>
      </c>
      <c r="B449" s="1052" t="s">
        <v>3403</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3415</v>
      </c>
      <c r="B452" s="1052" t="s">
        <v>2756</v>
      </c>
      <c r="C452" s="1054">
        <v>-22000</v>
      </c>
      <c r="D452" s="1054">
        <v>-21300</v>
      </c>
      <c r="E452" s="1054">
        <v>-43300</v>
      </c>
      <c r="F452" s="1052" t="s">
        <v>1285</v>
      </c>
      <c r="G452" s="1052" t="s">
        <v>3416</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3404</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3349</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3671</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3672</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3673</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3334</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3674</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3675</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3676</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dataValidations disablePrompts="1" count="1">
    <dataValidation type="list" allowBlank="1" showErrorMessage="1" sqref="U1">
      <formula1>$D$1:$D$26</formula1>
    </dataValidation>
  </dataValidations>
  <pageMargins left="0.7" right="0.7" top="0.75" bottom="0.75" header="0" footer="0"/>
  <pageSetup scale="63" orientation="landscape" r:id="rId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dataValidations count="3">
    <dataValidation type="list" allowBlank="1" showErrorMessage="1" sqref="C2:C912">
      <formula1>$J$1:$J$11</formula1>
    </dataValidation>
    <dataValidation type="list" allowBlank="1" showErrorMessage="1" sqref="D1:D860">
      <formula1>$L$1:$L$140</formula1>
    </dataValidation>
    <dataValidation type="list" allowBlank="1" showErrorMessage="1" sqref="D861:D912">
      <formula1>$L$1:$L$134</formula1>
    </dataValidation>
  </dataValidation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2024</vt:lpstr>
      <vt:lpstr>Capex</vt:lpstr>
      <vt:lpstr>Inventaire_Used</vt:lpstr>
      <vt:lpstr>Inventaire_Neuf</vt:lpstr>
      <vt:lpstr>Print_Mois</vt:lpstr>
      <vt:lpstr>2pager</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2025-07-10T19:07:26Z</cp:lastPrinted>
  <dcterms:created xsi:type="dcterms:W3CDTF">2023-01-24T17:19:21Z</dcterms:created>
  <dcterms:modified xsi:type="dcterms:W3CDTF">2025-08-19T20:49:07Z</dcterms:modified>
</cp:coreProperties>
</file>